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7840" windowHeight="12585"/>
  </bookViews>
  <sheets>
    <sheet name="Патанатомия" sheetId="4" r:id="rId1"/>
    <sheet name="МРТ КТ_СЦГ_2022" sheetId="3" r:id="rId2"/>
    <sheet name="ЭндоскопияВиды" sheetId="2" r:id="rId3"/>
    <sheet name="УЗИпоВидам" sheetId="1" r:id="rId4"/>
    <sheet name="Эндоскопия_маршр_05.09.2022" sheetId="7" r:id="rId5"/>
    <sheet name="УЗИ ССС на 2022 марш_К5.09.2022" sheetId="6" r:id="rId6"/>
    <sheet name="КТ2022маршрут_05.09.2022" sheetId="5" r:id="rId7"/>
  </sheets>
  <definedNames>
    <definedName name="_xlnm._FilterDatabase" localSheetId="6" hidden="1">КТ2022маршрут_05.09.2022!$A$4:$U$146</definedName>
    <definedName name="_xlnm._FilterDatabase" localSheetId="1" hidden="1">'МРТ КТ_СЦГ_2022'!$A$4:$G$126</definedName>
    <definedName name="_xlnm._FilterDatabase" localSheetId="0" hidden="1">Патанатомия!$A$4:$H$54</definedName>
    <definedName name="_xlnm._FilterDatabase" localSheetId="5" hidden="1">'УЗИ ССС на 2022 марш_К5.09.2022'!$A$5:$AV$57</definedName>
    <definedName name="_xlnm._FilterDatabase" localSheetId="3" hidden="1">УЗИпоВидам!$A$4:$H$725</definedName>
    <definedName name="_xlnm._FilterDatabase" localSheetId="4" hidden="1">Эндоскопия_маршр_05.09.2022!$B$4:$AV$53</definedName>
    <definedName name="_xlnm._FilterDatabase" localSheetId="2" hidden="1">ЭндоскопияВиды!$A$4:$H$434</definedName>
    <definedName name="Excel_BuiltIn_Print_Area" localSheetId="0">#REF!</definedName>
    <definedName name="_xlnm.Print_Titles" localSheetId="6">КТ2022маршрут_05.09.2022!$4:$4</definedName>
    <definedName name="_xlnm.Print_Titles" localSheetId="1">'МРТ КТ_СЦГ_2022'!$3:$4</definedName>
    <definedName name="_xlnm.Print_Titles" localSheetId="4">Эндоскопия_маршр_05.09.2022!$B:$G,Эндоскопия_маршр_05.09.2022!$4:$4</definedName>
    <definedName name="затраты" localSheetId="1">#REF!</definedName>
    <definedName name="затраты" localSheetId="0">#REF!</definedName>
    <definedName name="затраты" localSheetId="5">#REF!</definedName>
    <definedName name="затраты" localSheetId="3">#REF!</definedName>
    <definedName name="затраты" localSheetId="2">#REF!</definedName>
    <definedName name="затраты">#REF!</definedName>
    <definedName name="кз" localSheetId="0">#REF!</definedName>
    <definedName name="кз" localSheetId="5">#REF!</definedName>
    <definedName name="кз" localSheetId="3">#REF!</definedName>
    <definedName name="кз" localSheetId="2">#REF!</definedName>
    <definedName name="кз">#REF!</definedName>
    <definedName name="_xlnm.Criteria" localSheetId="1">'МРТ КТ_СЦГ_2022'!$9:$125</definedName>
    <definedName name="кс" localSheetId="5">#REF!</definedName>
    <definedName name="кс" localSheetId="3">#REF!</definedName>
    <definedName name="кс" localSheetId="2">#REF!</definedName>
    <definedName name="кс">#REF!</definedName>
    <definedName name="МРТ" localSheetId="5">#REF!</definedName>
    <definedName name="МРТ" localSheetId="3">#REF!</definedName>
    <definedName name="МРТ" localSheetId="2">#REF!</definedName>
    <definedName name="МРТ">#REF!</definedName>
    <definedName name="н" localSheetId="0">#REF!</definedName>
    <definedName name="н" localSheetId="5">#REF!</definedName>
    <definedName name="н" localSheetId="3">#REF!</definedName>
    <definedName name="н" localSheetId="2">#REF!</definedName>
    <definedName name="н">#REF!</definedName>
    <definedName name="_xlnm.Print_Area" localSheetId="6">КТ2022маршрут_05.09.2022!$B$1:$T$146</definedName>
    <definedName name="_xlnm.Print_Area" localSheetId="1">'МРТ КТ_СЦГ_2022'!$B$1:$G$124</definedName>
    <definedName name="_xlnm.Print_Area" localSheetId="0">Патанатомия!$B$1:$H$53</definedName>
    <definedName name="_xlnm.Print_Area" localSheetId="5">'УЗИ ССС на 2022 марш_К5.09.2022'!$B$1:$AU$57</definedName>
    <definedName name="_xlnm.Print_Area" localSheetId="3">УЗИпоВидам!$B$1:$H$725</definedName>
    <definedName name="_xlnm.Print_Area" localSheetId="4">Эндоскопия_маршр_05.09.2022!$A$1:$AU$52</definedName>
    <definedName name="_xlnm.Print_Area" localSheetId="2">ЭндоскопияВиды!$A$1:$H$436</definedName>
    <definedName name="_xlnm.Print_Area">#REF!</definedName>
    <definedName name="р" localSheetId="1">#REF!</definedName>
    <definedName name="р" localSheetId="0">#REF!</definedName>
    <definedName name="р" localSheetId="5">#REF!</definedName>
    <definedName name="р" localSheetId="3">#REF!</definedName>
    <definedName name="р" localSheetId="2">#REF!</definedName>
    <definedName name="р">#REF!</definedName>
    <definedName name="ррр" localSheetId="0">#REF!</definedName>
    <definedName name="ррр" localSheetId="5">#REF!</definedName>
    <definedName name="ррр" localSheetId="3">#REF!</definedName>
    <definedName name="ррр" localSheetId="2">#REF!</definedName>
    <definedName name="ррр">#REF!</definedName>
    <definedName name="стац" localSheetId="1">#REF!</definedName>
    <definedName name="стац" localSheetId="0">#REF!</definedName>
    <definedName name="стац" localSheetId="5">#REF!</definedName>
    <definedName name="стац" localSheetId="3">#REF!</definedName>
    <definedName name="стац" localSheetId="2">#REF!</definedName>
    <definedName name="стац">#REF!</definedName>
    <definedName name="ъ" localSheetId="5">#REF!</definedName>
    <definedName name="ъ" localSheetId="3">#REF!</definedName>
    <definedName name="ъ" localSheetId="2">#REF!</definedName>
    <definedName name="ъ">#REF!</definedName>
    <definedName name="я" localSheetId="5">#REF!</definedName>
    <definedName name="я" localSheetId="3">#REF!</definedName>
    <definedName name="я" localSheetId="2">#REF!</definedName>
    <definedName name="я">#REF!</definedName>
  </definedNames>
  <calcPr calcId="125725" iterateDelta="1E-4"/>
</workbook>
</file>

<file path=xl/calcChain.xml><?xml version="1.0" encoding="utf-8"?>
<calcChain xmlns="http://schemas.openxmlformats.org/spreadsheetml/2006/main">
  <c r="H5" i="1"/>
  <c r="C19"/>
  <c r="D19"/>
  <c r="E19"/>
  <c r="F19"/>
  <c r="G19"/>
  <c r="H19"/>
  <c r="H20"/>
  <c r="C34"/>
  <c r="D34"/>
  <c r="E34"/>
  <c r="F34"/>
  <c r="G34"/>
  <c r="H34"/>
  <c r="D35"/>
  <c r="G35"/>
  <c r="H35"/>
  <c r="H36"/>
  <c r="H37"/>
  <c r="H38"/>
  <c r="H39"/>
  <c r="H40"/>
  <c r="H41"/>
  <c r="H42"/>
  <c r="D43"/>
  <c r="H43"/>
  <c r="C49"/>
  <c r="D49"/>
  <c r="E49"/>
  <c r="F49"/>
  <c r="G49"/>
  <c r="H49"/>
  <c r="G50"/>
  <c r="H50"/>
  <c r="C64"/>
  <c r="D64"/>
  <c r="E64"/>
  <c r="F64"/>
  <c r="G64"/>
  <c r="H64"/>
  <c r="H65"/>
  <c r="C79"/>
  <c r="D79"/>
  <c r="E79"/>
  <c r="F79"/>
  <c r="G79"/>
  <c r="H79"/>
  <c r="D80"/>
  <c r="H80"/>
  <c r="H88"/>
  <c r="C94"/>
  <c r="D94"/>
  <c r="E94"/>
  <c r="F94"/>
  <c r="G94"/>
  <c r="H94"/>
  <c r="D103"/>
  <c r="D104"/>
  <c r="H104"/>
  <c r="C109"/>
  <c r="D109"/>
  <c r="E109"/>
  <c r="F109"/>
  <c r="G109"/>
  <c r="H109"/>
  <c r="G110"/>
  <c r="H110"/>
  <c r="C124"/>
  <c r="D124"/>
  <c r="E124"/>
  <c r="F124"/>
  <c r="G124"/>
  <c r="H124"/>
  <c r="D125"/>
  <c r="H125"/>
  <c r="D130"/>
  <c r="H130"/>
  <c r="D134"/>
  <c r="G134"/>
  <c r="H134"/>
  <c r="D136"/>
  <c r="C139"/>
  <c r="D139"/>
  <c r="E139"/>
  <c r="F139"/>
  <c r="G139"/>
  <c r="H139"/>
  <c r="H140"/>
  <c r="C154"/>
  <c r="D154"/>
  <c r="E154"/>
  <c r="F154"/>
  <c r="G154"/>
  <c r="H154"/>
  <c r="G155"/>
  <c r="H155"/>
  <c r="C169"/>
  <c r="D169"/>
  <c r="E169"/>
  <c r="F169"/>
  <c r="G169"/>
  <c r="H169"/>
  <c r="C184"/>
  <c r="D184"/>
  <c r="E184"/>
  <c r="F184"/>
  <c r="G184"/>
  <c r="H184"/>
  <c r="G185"/>
  <c r="H185"/>
  <c r="C199"/>
  <c r="D199"/>
  <c r="E199"/>
  <c r="F199"/>
  <c r="G199"/>
  <c r="H199"/>
  <c r="H201"/>
  <c r="H202"/>
  <c r="H204"/>
  <c r="H205"/>
  <c r="H206"/>
  <c r="H207"/>
  <c r="D208"/>
  <c r="G208"/>
  <c r="H208"/>
  <c r="H211"/>
  <c r="C214"/>
  <c r="D214"/>
  <c r="E214"/>
  <c r="F214"/>
  <c r="G214"/>
  <c r="H214"/>
  <c r="H215"/>
  <c r="C229"/>
  <c r="D229"/>
  <c r="E229"/>
  <c r="F229"/>
  <c r="G229"/>
  <c r="H229"/>
  <c r="D230"/>
  <c r="G230"/>
  <c r="H230"/>
  <c r="H231"/>
  <c r="H232"/>
  <c r="D234"/>
  <c r="H234"/>
  <c r="D235"/>
  <c r="H235"/>
  <c r="D236"/>
  <c r="H236"/>
  <c r="D238"/>
  <c r="G238"/>
  <c r="H238"/>
  <c r="D241"/>
  <c r="G241"/>
  <c r="H241"/>
  <c r="C244"/>
  <c r="D244"/>
  <c r="E244"/>
  <c r="F244"/>
  <c r="G244"/>
  <c r="H244"/>
  <c r="H253"/>
  <c r="D256"/>
  <c r="H256"/>
  <c r="C259"/>
  <c r="D259"/>
  <c r="E259"/>
  <c r="F259"/>
  <c r="G259"/>
  <c r="H259"/>
  <c r="D260"/>
  <c r="G260"/>
  <c r="H260"/>
  <c r="C274"/>
  <c r="D274"/>
  <c r="E274"/>
  <c r="F274"/>
  <c r="G274"/>
  <c r="H274"/>
  <c r="D275"/>
  <c r="H275"/>
  <c r="C289"/>
  <c r="D289"/>
  <c r="E289"/>
  <c r="F289"/>
  <c r="G289"/>
  <c r="H289"/>
  <c r="H290"/>
  <c r="C304"/>
  <c r="D304"/>
  <c r="E304"/>
  <c r="F304"/>
  <c r="G304"/>
  <c r="H304"/>
  <c r="H305"/>
  <c r="C319"/>
  <c r="D319"/>
  <c r="E319"/>
  <c r="F319"/>
  <c r="G319"/>
  <c r="H319"/>
  <c r="H320"/>
  <c r="H328"/>
  <c r="C334"/>
  <c r="D334"/>
  <c r="E334"/>
  <c r="F334"/>
  <c r="G334"/>
  <c r="H334"/>
  <c r="H335"/>
  <c r="C349"/>
  <c r="D349"/>
  <c r="E349"/>
  <c r="F349"/>
  <c r="G349"/>
  <c r="H349"/>
  <c r="D350"/>
  <c r="H350"/>
  <c r="D351"/>
  <c r="H351"/>
  <c r="D358"/>
  <c r="H358"/>
  <c r="H359"/>
  <c r="D361"/>
  <c r="H361"/>
  <c r="C364"/>
  <c r="D364"/>
  <c r="E364"/>
  <c r="F364"/>
  <c r="G364"/>
  <c r="H364"/>
  <c r="H365"/>
  <c r="C379"/>
  <c r="D379"/>
  <c r="E379"/>
  <c r="F379"/>
  <c r="G379"/>
  <c r="H379"/>
  <c r="D380"/>
  <c r="H380"/>
  <c r="D381"/>
  <c r="D382"/>
  <c r="H384"/>
  <c r="D385"/>
  <c r="D388"/>
  <c r="D391"/>
  <c r="H391"/>
  <c r="C394"/>
  <c r="D394"/>
  <c r="E394"/>
  <c r="F394"/>
  <c r="G394"/>
  <c r="H394"/>
  <c r="D395"/>
  <c r="E395"/>
  <c r="G395"/>
  <c r="H395"/>
  <c r="D397"/>
  <c r="E397"/>
  <c r="D398"/>
  <c r="E398"/>
  <c r="D399"/>
  <c r="E399"/>
  <c r="D400"/>
  <c r="D401"/>
  <c r="E401"/>
  <c r="D403"/>
  <c r="E403"/>
  <c r="D404"/>
  <c r="D406"/>
  <c r="E406"/>
  <c r="C409"/>
  <c r="D409"/>
  <c r="E409"/>
  <c r="F409"/>
  <c r="G409"/>
  <c r="H409"/>
  <c r="D410"/>
  <c r="H410"/>
  <c r="D411"/>
  <c r="H411"/>
  <c r="D412"/>
  <c r="G412"/>
  <c r="H412"/>
  <c r="D413"/>
  <c r="H413"/>
  <c r="D414"/>
  <c r="H414"/>
  <c r="D415"/>
  <c r="H415"/>
  <c r="D416"/>
  <c r="H416"/>
  <c r="D417"/>
  <c r="H417"/>
  <c r="D418"/>
  <c r="H418"/>
  <c r="D421"/>
  <c r="H421"/>
  <c r="D423"/>
  <c r="H423"/>
  <c r="C424"/>
  <c r="D424"/>
  <c r="E424"/>
  <c r="F424"/>
  <c r="G424"/>
  <c r="H424"/>
  <c r="H425"/>
  <c r="H426"/>
  <c r="H427"/>
  <c r="D431"/>
  <c r="H431"/>
  <c r="H432"/>
  <c r="D433"/>
  <c r="H433"/>
  <c r="D434"/>
  <c r="H434"/>
  <c r="C439"/>
  <c r="D439"/>
  <c r="E439"/>
  <c r="F439"/>
  <c r="G439"/>
  <c r="H439"/>
  <c r="D440"/>
  <c r="H440"/>
  <c r="H441"/>
  <c r="D442"/>
  <c r="D443"/>
  <c r="D444"/>
  <c r="D445"/>
  <c r="H445"/>
  <c r="D446"/>
  <c r="D447"/>
  <c r="D448"/>
  <c r="H448"/>
  <c r="D449"/>
  <c r="H449"/>
  <c r="D451"/>
  <c r="C454"/>
  <c r="D454"/>
  <c r="E454"/>
  <c r="F454"/>
  <c r="G454"/>
  <c r="H454"/>
  <c r="D455"/>
  <c r="H455"/>
  <c r="D457"/>
  <c r="D461"/>
  <c r="D463"/>
  <c r="H463"/>
  <c r="D465"/>
  <c r="H465"/>
  <c r="D466"/>
  <c r="C469"/>
  <c r="D469"/>
  <c r="E469"/>
  <c r="F469"/>
  <c r="G469"/>
  <c r="H469"/>
  <c r="D470"/>
  <c r="C484"/>
  <c r="D484"/>
  <c r="E484"/>
  <c r="F484"/>
  <c r="G484"/>
  <c r="H484"/>
  <c r="D485"/>
  <c r="H485"/>
  <c r="D486"/>
  <c r="D487"/>
  <c r="G487"/>
  <c r="H487"/>
  <c r="D491"/>
  <c r="G491"/>
  <c r="H491"/>
  <c r="D493"/>
  <c r="G493"/>
  <c r="H493"/>
  <c r="C499"/>
  <c r="D499"/>
  <c r="E499"/>
  <c r="F499"/>
  <c r="G499"/>
  <c r="H499"/>
  <c r="H500"/>
  <c r="H502"/>
  <c r="H503"/>
  <c r="H504"/>
  <c r="H505"/>
  <c r="H506"/>
  <c r="H508"/>
  <c r="H509"/>
  <c r="H511"/>
  <c r="H513"/>
  <c r="C514"/>
  <c r="D514"/>
  <c r="E514"/>
  <c r="F514"/>
  <c r="G514"/>
  <c r="H514"/>
  <c r="H515"/>
  <c r="D516"/>
  <c r="D517"/>
  <c r="H517"/>
  <c r="D520"/>
  <c r="D521"/>
  <c r="H521"/>
  <c r="D522"/>
  <c r="D523"/>
  <c r="H523"/>
  <c r="C529"/>
  <c r="D529"/>
  <c r="E529"/>
  <c r="F529"/>
  <c r="G529"/>
  <c r="H529"/>
  <c r="D530"/>
  <c r="H530"/>
  <c r="D534"/>
  <c r="H534"/>
  <c r="D538"/>
  <c r="H538"/>
  <c r="D541"/>
  <c r="H541"/>
  <c r="C544"/>
  <c r="D544"/>
  <c r="E544"/>
  <c r="F544"/>
  <c r="G544"/>
  <c r="H544"/>
  <c r="H545"/>
  <c r="C559"/>
  <c r="D559"/>
  <c r="E559"/>
  <c r="F559"/>
  <c r="G559"/>
  <c r="H559"/>
  <c r="H560"/>
  <c r="H566"/>
  <c r="H568"/>
  <c r="C574"/>
  <c r="D574"/>
  <c r="E574"/>
  <c r="F574"/>
  <c r="G574"/>
  <c r="H574"/>
  <c r="D575"/>
  <c r="H575"/>
  <c r="D577"/>
  <c r="E577"/>
  <c r="H579"/>
  <c r="D580"/>
  <c r="E580"/>
  <c r="H580"/>
  <c r="D583"/>
  <c r="E583"/>
  <c r="H583"/>
  <c r="C589"/>
  <c r="D589"/>
  <c r="E589"/>
  <c r="F589"/>
  <c r="G589"/>
  <c r="H589"/>
  <c r="H590"/>
  <c r="H591"/>
  <c r="H592"/>
  <c r="D595"/>
  <c r="D596"/>
  <c r="H596"/>
  <c r="H597"/>
  <c r="H598"/>
  <c r="C604"/>
  <c r="D604"/>
  <c r="E604"/>
  <c r="F604"/>
  <c r="G604"/>
  <c r="H604"/>
  <c r="H605"/>
  <c r="D609"/>
  <c r="H609"/>
  <c r="D610"/>
  <c r="H610"/>
  <c r="D613"/>
  <c r="H616"/>
  <c r="C619"/>
  <c r="D619"/>
  <c r="E619"/>
  <c r="F619"/>
  <c r="G619"/>
  <c r="H619"/>
  <c r="H620"/>
  <c r="H621"/>
  <c r="H622"/>
  <c r="H623"/>
  <c r="H624"/>
  <c r="H625"/>
  <c r="H626"/>
  <c r="H627"/>
  <c r="H628"/>
  <c r="H631"/>
  <c r="C634"/>
  <c r="D634"/>
  <c r="E634"/>
  <c r="F634"/>
  <c r="G634"/>
  <c r="H634"/>
  <c r="H635"/>
  <c r="D637"/>
  <c r="D638"/>
  <c r="H638"/>
  <c r="H639"/>
  <c r="H640"/>
  <c r="H641"/>
  <c r="D642"/>
  <c r="H643"/>
  <c r="H644"/>
  <c r="H645"/>
  <c r="H646"/>
  <c r="C649"/>
  <c r="D649"/>
  <c r="E649"/>
  <c r="F649"/>
  <c r="G649"/>
  <c r="H649"/>
  <c r="D650"/>
  <c r="H650"/>
  <c r="D651"/>
  <c r="G651"/>
  <c r="H651"/>
  <c r="D654"/>
  <c r="E654"/>
  <c r="G654"/>
  <c r="H654"/>
  <c r="D658"/>
  <c r="E658"/>
  <c r="G658"/>
  <c r="H658"/>
  <c r="D661"/>
  <c r="E661"/>
  <c r="G661"/>
  <c r="H661"/>
  <c r="C664"/>
  <c r="D664"/>
  <c r="E664"/>
  <c r="F664"/>
  <c r="G664"/>
  <c r="H664"/>
  <c r="D665"/>
  <c r="C679"/>
  <c r="D679"/>
  <c r="E679"/>
  <c r="F679"/>
  <c r="G679"/>
  <c r="H679"/>
  <c r="D680"/>
  <c r="G680"/>
  <c r="H680"/>
  <c r="C694"/>
  <c r="D694"/>
  <c r="E694"/>
  <c r="F694"/>
  <c r="G694"/>
  <c r="H694"/>
  <c r="G698"/>
  <c r="G703"/>
  <c r="C709"/>
  <c r="D709"/>
  <c r="E709"/>
  <c r="F709"/>
  <c r="G709"/>
  <c r="H709"/>
  <c r="C724"/>
  <c r="D724"/>
  <c r="E724"/>
  <c r="F724"/>
  <c r="G724"/>
  <c r="H724"/>
  <c r="C725"/>
  <c r="D725"/>
  <c r="E725"/>
  <c r="F725"/>
  <c r="G725"/>
  <c r="H725"/>
</calcChain>
</file>

<file path=xl/sharedStrings.xml><?xml version="1.0" encoding="utf-8"?>
<sst xmlns="http://schemas.openxmlformats.org/spreadsheetml/2006/main" count="2878" uniqueCount="281">
  <si>
    <t xml:space="preserve">Амбулаторно-поликлиническая помощь </t>
  </si>
  <si>
    <t xml:space="preserve">Плановое задание на проведение ультразвуковых исследований сердечно-сосудистой системы для медицинских организаций и Вологодского филиала АО "Страховая компания "СОГАЗ-Мед" на 2022 год </t>
  </si>
  <si>
    <t>Наименование медицинской организации</t>
  </si>
  <si>
    <t>Вид исследования</t>
  </si>
  <si>
    <t xml:space="preserve"> 1 квартал</t>
  </si>
  <si>
    <t>2 квартал</t>
  </si>
  <si>
    <t>3 квартал</t>
  </si>
  <si>
    <t>4 квартал</t>
  </si>
  <si>
    <t>БУЗ ВО "Бабаевская ЦРБ"</t>
  </si>
  <si>
    <t xml:space="preserve">Эхокардиография 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</si>
  <si>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</si>
  <si>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</si>
  <si>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Дуплексное сканирование артерий почек</t>
  </si>
  <si>
    <t xml:space="preserve">Ультразвуковая допплерография сосудов (артерий и вен) верхних конечностей </t>
  </si>
  <si>
    <t xml:space="preserve">Ультразвуковая допплерография сосудов (артерий и вен) нижних конечностей 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</si>
  <si>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</si>
  <si>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</si>
  <si>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экстракраниальных отделов брахиоцефальных артерий</t>
  </si>
  <si>
    <t>Дуплексное сканирование интракраниальных отделов брахиоцефальных артерий</t>
  </si>
  <si>
    <t>Дуплексное сканирование брахиоцефальных артерий, лучевых артерий с проведением ротационных проб</t>
  </si>
  <si>
    <t>Дуплексное сканирование сосудов (артерий и вен) нижних конечностей</t>
  </si>
  <si>
    <t xml:space="preserve">Ультразвуковая допплерография сосудов глаза </t>
  </si>
  <si>
    <t>Дуплексное сканирование сосудов щитовидной железы</t>
  </si>
  <si>
    <t>БУЗ ВО "Бабаевская ЦРБ" Итог</t>
  </si>
  <si>
    <t>ЧУЗ "РЖД-Медицина" г. Бабаево"</t>
  </si>
  <si>
    <t>ЧУЗ "РЖД-Медицина" г. Бабаево" Итог</t>
  </si>
  <si>
    <t>БУЗ ВО "Бабушкинская ЦРБ"</t>
  </si>
  <si>
    <t>БУЗ ВО "Бабушкинская ЦРБ" Итог</t>
  </si>
  <si>
    <t>БУЗ ВО "Белозерская ЦРБ"</t>
  </si>
  <si>
    <t>БУЗ ВО "Белозерская ЦРБ" Итог</t>
  </si>
  <si>
    <t>БУЗ ВО "Вашкинская ЦРБ"</t>
  </si>
  <si>
    <t>БУЗ ВО "Вашкинская ЦРБ" Итог</t>
  </si>
  <si>
    <t>БУЗ ВО "Великоустюгская ЦРБ"</t>
  </si>
  <si>
    <t>БУЗ ВО "Великоустюгская ЦРБ" Итог</t>
  </si>
  <si>
    <t>БУЗ ВО "Верховажская ЦРБ"</t>
  </si>
  <si>
    <t>БУЗ ВО "Верховажская ЦРБ" Итог</t>
  </si>
  <si>
    <t>БУЗ ВО "Вожегодская ЦРБ"</t>
  </si>
  <si>
    <t>БУЗ ВО "Вожегодская ЦРБ" Итог</t>
  </si>
  <si>
    <t>БУЗ ВО "Вологодская ЦРБ"</t>
  </si>
  <si>
    <t>БУЗ ВО "Вологодская ЦРБ" Итог</t>
  </si>
  <si>
    <t>БУЗ ВО "Вытегорская ЦРБ"</t>
  </si>
  <si>
    <t>БУЗ ВО "Вытегорская ЦРБ" Итог</t>
  </si>
  <si>
    <t>БУЗ ВО "Грязовецкая ЦРБ"</t>
  </si>
  <si>
    <t>БУЗ ВО "Грязовецкая ЦРБ" Итог</t>
  </si>
  <si>
    <t>БУЗ ВО "Кадуйская ЦРБ"</t>
  </si>
  <si>
    <t>БУЗ ВО "Кадуйская ЦРБ" Итог</t>
  </si>
  <si>
    <t>БУЗ ВО "Кирилловская ЦРБ"</t>
  </si>
  <si>
    <t>БУЗ ВО "Кирилловская ЦРБ" Итог</t>
  </si>
  <si>
    <t>БУЗ ВО "Кич-Городецкая ЦРБ" им. В.И. Коржавина</t>
  </si>
  <si>
    <t>БУЗ ВО "Кич-Городецкая ЦРБ" им. В.И. Коржавина Итог</t>
  </si>
  <si>
    <t>БУЗ ВО "Междуреченская ЦРБ"</t>
  </si>
  <si>
    <t>БУЗ ВО "Междуреченская ЦРБ" Итог</t>
  </si>
  <si>
    <t>БУЗ ВО "Никольская ЦРБ"</t>
  </si>
  <si>
    <t>БУЗ ВО "Никольская ЦРБ" Итог</t>
  </si>
  <si>
    <t>БУЗ ВО "Нюксенская ЦРБ"</t>
  </si>
  <si>
    <t>БУЗ ВО "Нюксенская ЦРБ" Итог</t>
  </si>
  <si>
    <t>БУЗ ВО "Сямженская ЦРБ"</t>
  </si>
  <si>
    <t>БУЗ ВО "Сямженская ЦРБ" Итог</t>
  </si>
  <si>
    <t>БУЗ ВО "Сокольская ЦРБ"</t>
  </si>
  <si>
    <t>БУЗ ВО "Сокольская ЦРБ" Итог</t>
  </si>
  <si>
    <t>БУЗ ВО "Тарногская ЦРБ"</t>
  </si>
  <si>
    <t>БУЗ ВО "Тарногская ЦРБ" Итог</t>
  </si>
  <si>
    <t>БУЗ ВО "Тотемская ЦРБ"</t>
  </si>
  <si>
    <t>БУЗ ВО "Тотемская ЦРБ" Итог</t>
  </si>
  <si>
    <t>БУЗ ВО "Усть-Кубинская ЦРБ"</t>
  </si>
  <si>
    <t>БУЗ ВО "Усть-Кубинская ЦРБ" Итог</t>
  </si>
  <si>
    <t>БУЗ ВО "Устюженская ЦРБ"</t>
  </si>
  <si>
    <t>БУЗ ВО "Устюженская ЦРБ" Итог</t>
  </si>
  <si>
    <t>БУЗ ВО "Харовская ЦРБ"</t>
  </si>
  <si>
    <t>БУЗ ВО "Харовская ЦРБ" Итог</t>
  </si>
  <si>
    <t>БУЗ ВО "Чагодощенская ЦРБ"</t>
  </si>
  <si>
    <t>БУЗ ВО "Чагодощенская ЦРБ" Итог</t>
  </si>
  <si>
    <t>БУЗ ВО "Шекснинская ЦРБ"</t>
  </si>
  <si>
    <t>БУЗ ВО "Шекснинская ЦРБ" Итог</t>
  </si>
  <si>
    <t xml:space="preserve">БУЗ ВО "Вологодская городская поликлиника № 1" </t>
  </si>
  <si>
    <t>БУЗ ВО "Вологодская городская поликлиника № 1"  Итог</t>
  </si>
  <si>
    <t xml:space="preserve">БУЗ ВО "Вологодская городская поликлиника № 2" </t>
  </si>
  <si>
    <t>БУЗ ВО "Вологодская городская поликлиника № 2"  Итог</t>
  </si>
  <si>
    <t xml:space="preserve">БУЗ ВО "Вологодская городская поликлиника № 3" </t>
  </si>
  <si>
    <t>БУЗ ВО "Вологодская городская поликлиника № 3"  Итог</t>
  </si>
  <si>
    <t xml:space="preserve">БУЗ ВО "Вологодская городская поликлиника № 4" </t>
  </si>
  <si>
    <t>БУЗ ВО "Вологодская городская поликлиника № 4"  Итог</t>
  </si>
  <si>
    <t xml:space="preserve">БУЗ ВО "Вологодская городская поликлиника № 5" </t>
  </si>
  <si>
    <t>БУЗ ВО "Вологодская городская поликлиника № 5"  Итог</t>
  </si>
  <si>
    <t xml:space="preserve">БУЗ ВО "Вологодская детская городская поликлиника" </t>
  </si>
  <si>
    <t>БУЗ ВО "Вологодская детская городская поликлиника"  Итог</t>
  </si>
  <si>
    <t>ЧУЗ "РЖД-Медицина" г. Вологда"</t>
  </si>
  <si>
    <t>ЧУЗ "РЖД-Медицина" г. Вологда" Итог</t>
  </si>
  <si>
    <t>БУЗ ВО "Вологодская городская больница № 2"</t>
  </si>
  <si>
    <t>БУЗ ВО "Вологодская городская больница № 2" Итог</t>
  </si>
  <si>
    <t>ФКУЗ "МСЧ МВД России по Вологодской области"</t>
  </si>
  <si>
    <t>ФКУЗ "МСЧ МВД России по Вологодской области" Итог</t>
  </si>
  <si>
    <t>ООО "Поликлиника "Бодрость"</t>
  </si>
  <si>
    <t>ООО "Поликлиника "Бодрость" Итог</t>
  </si>
  <si>
    <t xml:space="preserve">БУЗ ВО "Череповецкая детская городская  поликлиника  № 1"  </t>
  </si>
  <si>
    <t>БУЗ ВО "Череповецкая детская городская  поликлиника  № 1"   Итог</t>
  </si>
  <si>
    <t xml:space="preserve">БУЗ ВО "Череповецкая детская городская  поликлиника  № 3"  </t>
  </si>
  <si>
    <t>БУЗ ВО "Череповецкая детская городская  поликлиника  № 3"   Итог</t>
  </si>
  <si>
    <t>БУЗ ВО "Череповецкая городская поликлиника  № 7" им. П.Я. Дмитриева</t>
  </si>
  <si>
    <t>БУЗ ВО "Череповецкая городская поликлиника  № 7" им. П.Я. Дмитриева Итог</t>
  </si>
  <si>
    <t>БУЗ ВО "Череповецкая городская поликлиника № 1"</t>
  </si>
  <si>
    <t>БУЗ ВО "Череповецкая городская поликлиника № 1" Итог</t>
  </si>
  <si>
    <t>БУЗ ВО "Череповецкая городская поликлиника № 2"</t>
  </si>
  <si>
    <t>БУЗ ВО "Череповецкая городская поликлиника № 2" Итог</t>
  </si>
  <si>
    <t>БУЗ ВО "Череповецкая городская больница"</t>
  </si>
  <si>
    <t>БУЗ ВО "Череповецкая городская больница" Итог</t>
  </si>
  <si>
    <t>БУЗ ВО "Медсанчасть "Северсталь"</t>
  </si>
  <si>
    <t>БУЗ ВО "Медсанчасть "Северсталь" Итог</t>
  </si>
  <si>
    <t>БУЗ ВО "Вологодская областная клиническая больница"</t>
  </si>
  <si>
    <t>БУЗ ВО "Вологодская областная клиническая больница" Итог</t>
  </si>
  <si>
    <t>БУЗ ВО "Вологодская областная детская клиническая больница"</t>
  </si>
  <si>
    <t>БУЗ ВО "Вологодская областная детская клиническая больница" Итог</t>
  </si>
  <si>
    <t>БУЗ ВО "ВОДКБ"</t>
  </si>
  <si>
    <t xml:space="preserve">БУЗ ВО "Вологодская областная  клиническая больница  №2" </t>
  </si>
  <si>
    <t>БУЗ ВО "Вологодская областная  клиническая больница  №2"  Итог</t>
  </si>
  <si>
    <t>БУЗ ВО "Вологодская областная детская больница № 2"</t>
  </si>
  <si>
    <t>БУЗ ВО "Вологодская областная детская больница № 2" Итог</t>
  </si>
  <si>
    <t>Общий итог</t>
  </si>
  <si>
    <t>Количество исследований (К 5.09.2022)</t>
  </si>
  <si>
    <t xml:space="preserve"> - Эндоскопические диагностические исследования </t>
  </si>
  <si>
    <t>Эзофагогастродуоденоскопия (взрослые)</t>
  </si>
  <si>
    <t>Эзофагогастродуоденоскопия (дети)</t>
  </si>
  <si>
    <t>Бронхоскопия (взрослые)</t>
  </si>
  <si>
    <t>Бронхоскопия (дети)</t>
  </si>
  <si>
    <t>Колоноскопия (взрослые)</t>
  </si>
  <si>
    <t>Колоноскопия (дети)</t>
  </si>
  <si>
    <t>Ректороманоскопия (взрослые)</t>
  </si>
  <si>
    <t>Ректороманоскопия (дети)</t>
  </si>
  <si>
    <t>Сигмоскопия</t>
  </si>
  <si>
    <t>ЧУЗ "РЖД-Медицина" г. Бабаево</t>
  </si>
  <si>
    <t>ЧУЗ "РЖД-Медицина" г. Бабаево Итог</t>
  </si>
  <si>
    <t xml:space="preserve">БУЗ ВО "Бабушкинская ЦРБ" </t>
  </si>
  <si>
    <t>БУЗ ВО "Бабушкинская ЦРБ"  Итог</t>
  </si>
  <si>
    <t xml:space="preserve">БУЗ ВО "Великоустюгская ЦРБ" </t>
  </si>
  <si>
    <t>БУЗ ВО "Великоустюгская ЦРБ"  Итог</t>
  </si>
  <si>
    <t xml:space="preserve">БУЗ ВО "Верховажская ЦРБ" </t>
  </si>
  <si>
    <t>БУЗ ВО "Верховажская ЦРБ"  Итог</t>
  </si>
  <si>
    <t xml:space="preserve">БУЗ ВО "Кич-Городецкая ЦРБ" им. В.И.Коржавина </t>
  </si>
  <si>
    <t>БУЗ ВО "Кич-Городецкая ЦРБ" им. В.И.Коржавина  Итог</t>
  </si>
  <si>
    <t xml:space="preserve">БУЗ ВО "Никольская ЦРБ" </t>
  </si>
  <si>
    <t>БУЗ ВО "Никольская ЦРБ"  Итог</t>
  </si>
  <si>
    <t xml:space="preserve">БУЗ ВО "Сокольская ЦРБ" </t>
  </si>
  <si>
    <t>БУЗ ВО "Сокольская ЦРБ"  Итог</t>
  </si>
  <si>
    <t xml:space="preserve">БУЗ ВО "Тотемская ЦРБ" </t>
  </si>
  <si>
    <t>БУЗ ВО "Тотемская ЦРБ"  Итог</t>
  </si>
  <si>
    <t xml:space="preserve">БУЗ ВО "Усть-Кубинская ЦРБ" </t>
  </si>
  <si>
    <t>БУЗ ВО "Усть-Кубинская ЦРБ"  Итог</t>
  </si>
  <si>
    <t xml:space="preserve">БУЗ ВО "Устюженская ЦРБ" </t>
  </si>
  <si>
    <t>БУЗ ВО "Устюженская ЦРБ"  Итог</t>
  </si>
  <si>
    <t xml:space="preserve">БУЗ ВО "Харовская ЦРБ" </t>
  </si>
  <si>
    <t>БУЗ ВО "Харовская ЦРБ"  Итог</t>
  </si>
  <si>
    <t xml:space="preserve">БУЗ ВО "Чагодощенская ЦРБ" </t>
  </si>
  <si>
    <t>БУЗ ВО "Чагодощенская ЦРБ"  Итог</t>
  </si>
  <si>
    <t xml:space="preserve">БУЗ ВО "Шекснинская ЦРБ" </t>
  </si>
  <si>
    <t>БУЗ ВО "Шекснинская ЦРБ"  Итог</t>
  </si>
  <si>
    <t>БУЗ ВО "Вологодская городская поликлиника №1"</t>
  </si>
  <si>
    <t>БУЗ ВО "Вологодская городская поликлиника №1" Итог</t>
  </si>
  <si>
    <t>БУЗ ВО "Вологодская городская поликлиника №2"</t>
  </si>
  <si>
    <t>БУЗ ВО "Вологодская городская поликлиника №2" Итог</t>
  </si>
  <si>
    <t>БУЗ ВО "Вологодская городская поликлиника № 4"</t>
  </si>
  <si>
    <t>БУЗ ВО "Вологодская городская поликлиника № 4" Итог</t>
  </si>
  <si>
    <t>ЧУЗ "РЖД-Медицина" г. Вологда</t>
  </si>
  <si>
    <t>ЧУЗ "РЖД-Медицина" г. Вологда Итог</t>
  </si>
  <si>
    <t xml:space="preserve">БУЗ ВО "Вологодская городская больница №2" </t>
  </si>
  <si>
    <t>БУЗ ВО "Вологодская городская больница №2"  Итог</t>
  </si>
  <si>
    <t xml:space="preserve">ООО "Медицинский центр "Бодрость" </t>
  </si>
  <si>
    <t>ООО "Медицинский центр "Бодрость"  Итог</t>
  </si>
  <si>
    <t>БУЗ ВО "Череповецкая городская поликлиника № 7" им.П.Я.Дмитриева</t>
  </si>
  <si>
    <t>БУЗ ВО "Череповецкая городская поликлиника № 7" им.П.Я.Дмитриева Итог</t>
  </si>
  <si>
    <t xml:space="preserve">БУЗ ВО "Череповецкая городская поликлиника № 1" </t>
  </si>
  <si>
    <t>БУЗ ВО "Череповецкая городская поликлиника № 1"  Итог</t>
  </si>
  <si>
    <t xml:space="preserve">БУЗ ВО "Череповецкая городская больница" </t>
  </si>
  <si>
    <t>БУЗ ВО "Череповецкая городская больница"  Итог</t>
  </si>
  <si>
    <t>БУЗ ВО "Медико-санитарная часть "Северсталь"</t>
  </si>
  <si>
    <t>БУЗ ВО "Медико-санитарная часть "Северсталь" Итог</t>
  </si>
  <si>
    <t>БУЗ ВО "Вологодская областная клиническая больница №2"</t>
  </si>
  <si>
    <t>БУЗ ВО "Вологодская областная клиническая больница №2" Итог</t>
  </si>
  <si>
    <t xml:space="preserve">БУЗ ВО "Вологодская областная детская клиническая больница" </t>
  </si>
  <si>
    <t>БУЗ ВО "Вологодская областная детская клиническая больница"  Итог</t>
  </si>
  <si>
    <t xml:space="preserve">БУЗ ВО "ВОДКБ" </t>
  </si>
  <si>
    <t>БУЗ ВО "ВОДКБ"  Итог</t>
  </si>
  <si>
    <t>БУЗ ВО "Вологодский областной онкологический диспансер"</t>
  </si>
  <si>
    <t>БУЗ ВО "Вологодский областной онкологический диспансер" Итог</t>
  </si>
  <si>
    <t xml:space="preserve">наши за пред </t>
  </si>
  <si>
    <t>всего</t>
  </si>
  <si>
    <t>в ПГГ 2022</t>
  </si>
  <si>
    <t>Амбулаторно-поликлиническая помощь 2022 год</t>
  </si>
  <si>
    <t>Плановое задание на услуги по КТ и МРТ -исследованиям, СЦГ для медицинских организаций и Вологодского филиала АО "Страховая компания "СОГАЗ-Мед" на 2022 год</t>
  </si>
  <si>
    <t>ПЛАН 2022 года (Комиссия 5.09.2022 )</t>
  </si>
  <si>
    <t>Услуги</t>
  </si>
  <si>
    <t>КТ</t>
  </si>
  <si>
    <t>Бесконтрастные исследования</t>
  </si>
  <si>
    <t>Рентгеноконтрастные исследования</t>
  </si>
  <si>
    <t xml:space="preserve">БУЗ ВО "Вытегорская ЦРБ" </t>
  </si>
  <si>
    <t>БУЗ ВО "Вологодская городская больница №1"</t>
  </si>
  <si>
    <t>ООО "Красота и здоровье"</t>
  </si>
  <si>
    <t>ФКУЗ МСЧ МВД России по Вологодской обл.</t>
  </si>
  <si>
    <t>МРТ</t>
  </si>
  <si>
    <t xml:space="preserve">ООО "МИБС -Вологда" </t>
  </si>
  <si>
    <t>ООО "Клиника "Говорово"</t>
  </si>
  <si>
    <t>ООО "Магнит Плюс" г. Воронеж</t>
  </si>
  <si>
    <t>ООО "ЛДЦ МИБС -Череповец"</t>
  </si>
  <si>
    <t>ООО "Медэксперт"</t>
  </si>
  <si>
    <t>ООО "МедГрад"</t>
  </si>
  <si>
    <t>СЦГ</t>
  </si>
  <si>
    <t>МРТ c наркозом</t>
  </si>
  <si>
    <t>БУЗ ВО "ВОДКБ" (вкл в реестр 27.07.2022)</t>
  </si>
  <si>
    <t xml:space="preserve">БУЗ ВО "Вологодская областная детская больница № 2" </t>
  </si>
  <si>
    <t>ВСЕГО КТ</t>
  </si>
  <si>
    <t>ВСЕГО МРТ</t>
  </si>
  <si>
    <t>ВСЕГО СЦГ</t>
  </si>
  <si>
    <t>наши за пред КТ</t>
  </si>
  <si>
    <t>в ПГГ 2022 КТ</t>
  </si>
  <si>
    <t>наши за пред МРТ</t>
  </si>
  <si>
    <t>в ПГГ 2022 МРТ</t>
  </si>
  <si>
    <t xml:space="preserve">Плановое задание на проведение патологоанатомических исследований биопсийного (операционного) материала с целью диагностики онкологических заболеваний  и подбора противоопухолевой лекарственной терапии для медицинских организаций и 
Вологодского филиала АО "Страховая компания "СОГАЗ-Мед" на 2022 год </t>
  </si>
  <si>
    <t xml:space="preserve"> Категории сложности</t>
  </si>
  <si>
    <t xml:space="preserve">Количество исследований К 5.09.2022 </t>
  </si>
  <si>
    <t xml:space="preserve">Патолого-анатомическое исследование биопсийного (операционного) материала первой категории сложности </t>
  </si>
  <si>
    <t>Патолого-анатомическое исследование биопсийного (операционного) материала второй категории сложности</t>
  </si>
  <si>
    <t xml:space="preserve">Патолого-анатомическое исследование биопсийного (операционного) материала третьей категории сложности </t>
  </si>
  <si>
    <t xml:space="preserve">Патолого-анатомическое исследование биопсийного (операционного) материала четвертой категории сложности </t>
  </si>
  <si>
    <t>Патолого-анатомическое исследование биопсийного (операционного) материала пятой категории сложности</t>
  </si>
  <si>
    <t>Патолого-анатомическое исследование биопсийного (операционного) материала с применением иммуногистохимических методов</t>
  </si>
  <si>
    <t xml:space="preserve">Патолого-анатомическое исследование белка к рецепторам HER2/neu с применением иммуногистохимических методов </t>
  </si>
  <si>
    <t>БУЗ ВО "Вологодская городская больница №1" Итог</t>
  </si>
  <si>
    <t>наши за пред</t>
  </si>
  <si>
    <t>БУЗ ВО "Вологодская областная детская клиническая больница" (искл из. в реестра 01.07.2022)</t>
  </si>
  <si>
    <t>План Комиссия 5.09.2022</t>
  </si>
  <si>
    <r>
      <rPr>
        <u/>
        <sz val="12"/>
        <rFont val="Times New Roman"/>
        <family val="2"/>
        <charset val="204"/>
      </rPr>
      <t xml:space="preserve">Амбулаторно-поликлиническая помощь </t>
    </r>
    <r>
      <rPr>
        <sz val="12"/>
        <rFont val="Times New Roman"/>
        <family val="2"/>
        <charset val="204"/>
      </rPr>
      <t xml:space="preserve">
Плановое задание на диагностические исследования на 2022 год</t>
    </r>
  </si>
  <si>
    <t>Амбулаторно-поликлиническая помощь 2022 год
Маршрутизация на услуги КТ исследований  медицинских организаций  Вологодской области на 2022 год</t>
  </si>
  <si>
    <t>ПЛАН 2022 года на 05.09.2022</t>
  </si>
  <si>
    <t>Медицинские организации</t>
  </si>
  <si>
    <t>БУЗ ВО "МСЧ "Северсталь"</t>
  </si>
  <si>
    <t>БУЗ ВО "Вологодская областная детская больница №2"</t>
  </si>
  <si>
    <t>Итого</t>
  </si>
  <si>
    <t>БУЗ ВО "Вологодская городская поликлиника №1"(ЦАОП)</t>
  </si>
  <si>
    <t>БУЗ ВО "ВОДКБ" новая</t>
  </si>
  <si>
    <t xml:space="preserve">Рентгеноконтрастные исследования </t>
  </si>
  <si>
    <t xml:space="preserve">БУЗ ВО "Белозерская ЦРБ" </t>
  </si>
  <si>
    <t xml:space="preserve">БУЗ ВО "Междуреченская ЦРБ" </t>
  </si>
  <si>
    <t xml:space="preserve">ИТОГО районные </t>
  </si>
  <si>
    <t>БУЗ ВО "Вологодская городская поликлиника №4"</t>
  </si>
  <si>
    <t xml:space="preserve">БУЗ ВО "Вологодская городская поликлиника №5" </t>
  </si>
  <si>
    <t xml:space="preserve">ЧУЗ "РЖД-Медицина" г. Вологда </t>
  </si>
  <si>
    <t xml:space="preserve">ООО Поликлиника "Бодрость" </t>
  </si>
  <si>
    <t>БУЗ ВО "Вологодская городская стоматологическая поликлиника"</t>
  </si>
  <si>
    <t xml:space="preserve">Итого г. Вологда </t>
  </si>
  <si>
    <t>БУЗ ВО "Череповецкая детская городская поликлиника №1"</t>
  </si>
  <si>
    <t xml:space="preserve">БУЗ ВО "Череповецкая детская городская поликлиника №3" </t>
  </si>
  <si>
    <t xml:space="preserve">ИТОГО г.Череповец </t>
  </si>
  <si>
    <t xml:space="preserve">КТ - иследования </t>
  </si>
  <si>
    <t>ВСЕГО</t>
  </si>
  <si>
    <r>
      <rPr>
        <b/>
        <u/>
        <sz val="11"/>
        <color indexed="8"/>
        <rFont val="Times New Roman"/>
        <family val="1"/>
        <charset val="204"/>
      </rPr>
      <t xml:space="preserve">Амбулаторно-поликлиническая помощь </t>
    </r>
    <r>
      <rPr>
        <b/>
        <sz val="11"/>
        <color indexed="8"/>
        <rFont val="Times New Roman"/>
        <family val="1"/>
        <charset val="204"/>
      </rPr>
      <t xml:space="preserve">
Маршрутизация диагностических исследований  при наличии направления в рамках выделенных объемов при оказании амбулаторно-поликлинической медицинской помощи  на 2022 год</t>
    </r>
  </si>
  <si>
    <t xml:space="preserve"> - Ультразвуковое исследование сердечно-сосудистой системы
</t>
  </si>
  <si>
    <t>Наименование медицинских организаций</t>
  </si>
  <si>
    <t>Ультразвуковое исследование сердечно-сосудистой  (Комиссия 05.09.2022)</t>
  </si>
  <si>
    <t>ЧУЗ "РЖД-Медицина"
 г. Бабаево</t>
  </si>
  <si>
    <t>БУЗ ВО "Вологодская городская
 поликлиника №1"</t>
  </si>
  <si>
    <t>БУЗ ВО "Вологодская городская
 поликлиника №2"</t>
  </si>
  <si>
    <t xml:space="preserve">БУЗ ВО "Вологодская городская
 поликлиника № 3" </t>
  </si>
  <si>
    <t>БУЗ ВО "Вологодская городская
 поликлиника № 4"</t>
  </si>
  <si>
    <t xml:space="preserve">БУЗ ВО "Вологодская городская
 поликлиника № 5" </t>
  </si>
  <si>
    <t xml:space="preserve">БУЗ ВО "Вологодская детская
 городская поликлиника" </t>
  </si>
  <si>
    <t>ЧУЗ "РЖД-Медицина"
 г. Вологда</t>
  </si>
  <si>
    <t xml:space="preserve">БУЗ ВО "Вологодская 
городская больница №2" </t>
  </si>
  <si>
    <t>ФКУЗ "МСЧ МВД России по Вологодской обл."</t>
  </si>
  <si>
    <t xml:space="preserve">ООО "Поликлиника "Бодрость" </t>
  </si>
  <si>
    <t xml:space="preserve">БУЗ ВО "Череповецкая детская городская поликлиника №1" </t>
  </si>
  <si>
    <t>БУЗ ВО "Череповецкая детская городская поликлиника №3"</t>
  </si>
  <si>
    <t>Наименование медицинских организаций-исполнителей:</t>
  </si>
  <si>
    <t>Итого область</t>
  </si>
  <si>
    <t>ОБЩИЙ ИТОГ</t>
  </si>
  <si>
    <r>
      <rPr>
        <u/>
        <sz val="16"/>
        <rFont val="Times New Roman"/>
        <family val="1"/>
        <charset val="204"/>
      </rPr>
      <t xml:space="preserve">Амбулаторно-поликлиническая помощь </t>
    </r>
    <r>
      <rPr>
        <sz val="16"/>
        <rFont val="Times New Roman"/>
        <family val="1"/>
        <charset val="204"/>
      </rPr>
      <t xml:space="preserve">
Маршрутизация эндоскопических диагностических исследований  при наличии направления в рамках выделенных объемов при оказании амбулаторно-поликлинической медицинской помощи  на 2022 год</t>
    </r>
  </si>
  <si>
    <t xml:space="preserve">                                                             Медорганизации заказчики:
Медорганизации исполнители:</t>
  </si>
  <si>
    <t>Эндоскопические диагностические исследования 2022
К 05.09.2022</t>
  </si>
  <si>
    <t>БУЗ ВО "Вологодская городская поликлиника № 5"</t>
  </si>
  <si>
    <t xml:space="preserve">БУЗ ВО "Вологодская городская
 больница №2" </t>
  </si>
  <si>
    <t xml:space="preserve">ООО "Поликлиника"Бодрость" </t>
  </si>
  <si>
    <t xml:space="preserve">БУЗ ВО "Кадуйская ЦРБ" </t>
  </si>
  <si>
    <t xml:space="preserve">БУЗ ВО "Вологодский областной онкологический диспансер" 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</si>
</sst>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%;[Red]\(#,##0.00%\)"/>
    <numFmt numFmtId="165" formatCode="0.0%;\(0.0%\)"/>
    <numFmt numFmtId="166" formatCode="000"/>
    <numFmt numFmtId="167" formatCode="#,##0.0%;[Red]\(#,##0.0%\)"/>
    <numFmt numFmtId="168" formatCode="#,##0.0%;\(#,##0.0%\)"/>
    <numFmt numFmtId="169" formatCode="0.0000%"/>
    <numFmt numFmtId="170" formatCode="#,##0.0_%;[Red]\(#,##0.0%\)"/>
    <numFmt numFmtId="171" formatCode="_-* #,##0.00[$€-1]_-;\-* #,##0.00[$€-1]_-;_-* &quot;-&quot;??[$€-1]_-"/>
    <numFmt numFmtId="172" formatCode="[$-419]General"/>
    <numFmt numFmtId="173" formatCode="#,##0.00&quot; &quot;[$руб.-419];[Red]&quot;-&quot;#,##0.00&quot; &quot;[$руб.-419]"/>
    <numFmt numFmtId="174" formatCode="0.00000%"/>
    <numFmt numFmtId="175" formatCode="_(* #,##0.00_);_(* \(#,##0.00\);_(* &quot;-&quot;??_);_(@_)"/>
    <numFmt numFmtId="176" formatCode="0.0%"/>
  </numFmts>
  <fonts count="90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 Cyr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 Cyr"/>
      <charset val="204"/>
    </font>
    <font>
      <i/>
      <sz val="11"/>
      <name val="Arial Cyr"/>
      <charset val="204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2"/>
      <charset val="204"/>
    </font>
    <font>
      <u/>
      <sz val="12"/>
      <name val="Times New Roman"/>
      <family val="2"/>
      <charset val="204"/>
    </font>
    <font>
      <b/>
      <sz val="10"/>
      <name val="Times New Roman"/>
      <family val="2"/>
      <charset val="204"/>
    </font>
    <font>
      <sz val="10"/>
      <name val="Times New Roman"/>
      <family val="2"/>
      <charset val="204"/>
    </font>
    <font>
      <sz val="10"/>
      <color rgb="FFC00000"/>
      <name val="Arial Cyr"/>
      <charset val="204"/>
    </font>
    <font>
      <b/>
      <sz val="10"/>
      <color rgb="FFC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9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164" fontId="5" fillId="0" borderId="0" applyFill="0" applyBorder="0" applyAlignment="0"/>
    <xf numFmtId="165" fontId="5" fillId="0" borderId="0" applyFill="0" applyBorder="0" applyAlignment="0"/>
    <xf numFmtId="166" fontId="7" fillId="0" borderId="0" applyFill="0" applyBorder="0" applyAlignment="0"/>
    <xf numFmtId="167" fontId="5" fillId="0" borderId="0" applyFill="0" applyBorder="0" applyAlignment="0"/>
    <xf numFmtId="168" fontId="5" fillId="0" borderId="0" applyFill="0" applyBorder="0" applyAlignment="0"/>
    <xf numFmtId="164" fontId="5" fillId="0" borderId="0" applyFill="0" applyBorder="0" applyAlignment="0"/>
    <xf numFmtId="169" fontId="5" fillId="0" borderId="0" applyFill="0" applyBorder="0" applyAlignment="0"/>
    <xf numFmtId="165" fontId="5" fillId="0" borderId="0" applyFill="0" applyBorder="0" applyAlignment="0"/>
    <xf numFmtId="0" fontId="14" fillId="20" borderId="4" applyNumberFormat="0" applyAlignment="0" applyProtection="0"/>
    <xf numFmtId="0" fontId="15" fillId="21" borderId="5" applyNumberFormat="0" applyAlignment="0" applyProtection="0"/>
    <xf numFmtId="0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4" fontId="17" fillId="0" borderId="0" applyFill="0" applyBorder="0" applyAlignment="0"/>
    <xf numFmtId="164" fontId="5" fillId="0" borderId="0" applyFill="0" applyBorder="0" applyAlignment="0"/>
    <xf numFmtId="165" fontId="5" fillId="0" borderId="0" applyFill="0" applyBorder="0" applyAlignment="0"/>
    <xf numFmtId="164" fontId="5" fillId="0" borderId="0" applyFill="0" applyBorder="0" applyAlignment="0"/>
    <xf numFmtId="169" fontId="5" fillId="0" borderId="0" applyFill="0" applyBorder="0" applyAlignment="0"/>
    <xf numFmtId="165" fontId="5" fillId="0" borderId="0" applyFill="0" applyBorder="0" applyAlignment="0"/>
    <xf numFmtId="171" fontId="5" fillId="0" borderId="0" applyFont="0" applyFill="0" applyBorder="0" applyAlignment="0" applyProtection="0"/>
    <xf numFmtId="0" fontId="11" fillId="0" borderId="0"/>
    <xf numFmtId="172" fontId="18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21" fillId="22" borderId="0" applyNumberFormat="0" applyBorder="0" applyAlignment="0" applyProtection="0"/>
    <xf numFmtId="0" fontId="22" fillId="0" borderId="6" applyNumberFormat="0" applyAlignment="0" applyProtection="0">
      <alignment horizontal="left" vertical="center"/>
    </xf>
    <xf numFmtId="0" fontId="22" fillId="0" borderId="7">
      <alignment horizontal="left" vertical="center"/>
    </xf>
    <xf numFmtId="0" fontId="23" fillId="0" borderId="0">
      <alignment horizontal="center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>
      <alignment horizontal="center" textRotation="90"/>
    </xf>
    <xf numFmtId="0" fontId="27" fillId="7" borderId="4" applyNumberFormat="0" applyAlignment="0" applyProtection="0"/>
    <xf numFmtId="10" fontId="21" fillId="23" borderId="2" applyNumberFormat="0" applyBorder="0" applyAlignment="0" applyProtection="0"/>
    <xf numFmtId="164" fontId="5" fillId="0" borderId="0" applyFill="0" applyBorder="0" applyAlignment="0"/>
    <xf numFmtId="165" fontId="5" fillId="0" borderId="0" applyFill="0" applyBorder="0" applyAlignment="0"/>
    <xf numFmtId="164" fontId="5" fillId="0" borderId="0" applyFill="0" applyBorder="0" applyAlignment="0"/>
    <xf numFmtId="169" fontId="5" fillId="0" borderId="0" applyFill="0" applyBorder="0" applyAlignment="0"/>
    <xf numFmtId="165" fontId="5" fillId="0" borderId="0" applyFill="0" applyBorder="0" applyAlignment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169" fontId="5" fillId="0" borderId="0"/>
    <xf numFmtId="0" fontId="3" fillId="0" borderId="0"/>
    <xf numFmtId="0" fontId="9" fillId="0" borderId="0"/>
    <xf numFmtId="0" fontId="5" fillId="25" borderId="12" applyNumberFormat="0" applyFont="0" applyAlignment="0" applyProtection="0"/>
    <xf numFmtId="0" fontId="30" fillId="20" borderId="13" applyNumberFormat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ill="0" applyBorder="0" applyAlignment="0"/>
    <xf numFmtId="165" fontId="5" fillId="0" borderId="0" applyFill="0" applyBorder="0" applyAlignment="0"/>
    <xf numFmtId="164" fontId="5" fillId="0" borderId="0" applyFill="0" applyBorder="0" applyAlignment="0"/>
    <xf numFmtId="169" fontId="5" fillId="0" borderId="0" applyFill="0" applyBorder="0" applyAlignment="0"/>
    <xf numFmtId="165" fontId="5" fillId="0" borderId="0" applyFill="0" applyBorder="0" applyAlignment="0"/>
    <xf numFmtId="0" fontId="31" fillId="0" borderId="0"/>
    <xf numFmtId="173" fontId="31" fillId="0" borderId="0"/>
    <xf numFmtId="0" fontId="32" fillId="0" borderId="0">
      <alignment horizontal="right" vertical="center"/>
    </xf>
    <xf numFmtId="0" fontId="33" fillId="0" borderId="0">
      <alignment horizontal="left" vertical="center"/>
    </xf>
    <xf numFmtId="0" fontId="34" fillId="0" borderId="0">
      <alignment horizontal="center" vertical="center"/>
    </xf>
    <xf numFmtId="0" fontId="32" fillId="0" borderId="0">
      <alignment horizontal="center" vertical="center"/>
    </xf>
    <xf numFmtId="0" fontId="35" fillId="0" borderId="0">
      <alignment horizontal="center" vertical="center"/>
    </xf>
    <xf numFmtId="49" fontId="17" fillId="0" borderId="0" applyFill="0" applyBorder="0" applyAlignment="0"/>
    <xf numFmtId="169" fontId="5" fillId="0" borderId="0" applyFill="0" applyBorder="0" applyAlignment="0"/>
    <xf numFmtId="174" fontId="5" fillId="0" borderId="0" applyFill="0" applyBorder="0" applyAlignment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4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9" fontId="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49" fontId="2" fillId="0" borderId="0">
      <alignment horizontal="center" vertical="center" wrapText="1"/>
    </xf>
    <xf numFmtId="0" fontId="47" fillId="0" borderId="15">
      <alignment horizontal="center" vertical="center" wrapText="1"/>
    </xf>
    <xf numFmtId="14" fontId="47" fillId="0" borderId="15">
      <alignment horizontal="center" vertical="center" wrapText="1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7" borderId="4" applyNumberFormat="0" applyAlignment="0" applyProtection="0"/>
    <xf numFmtId="0" fontId="30" fillId="20" borderId="13" applyNumberFormat="0" applyAlignment="0" applyProtection="0"/>
    <xf numFmtId="0" fontId="14" fillId="20" borderId="4" applyNumberFormat="0" applyAlignment="0" applyProtection="0"/>
    <xf numFmtId="44" fontId="5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5" fillId="21" borderId="5" applyNumberFormat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1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3" fillId="0" borderId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5" borderId="12" applyNumberFormat="0" applyFont="0" applyAlignment="0" applyProtection="0"/>
    <xf numFmtId="0" fontId="2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4">
    <xf numFmtId="0" fontId="0" fillId="0" borderId="0" xfId="0"/>
    <xf numFmtId="0" fontId="4" fillId="0" borderId="2" xfId="2" applyFont="1" applyFill="1" applyBorder="1" applyAlignment="1">
      <alignment horizontal="left" vertical="center" wrapText="1"/>
    </xf>
    <xf numFmtId="3" fontId="6" fillId="0" borderId="2" xfId="4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/>
    <xf numFmtId="3" fontId="4" fillId="0" borderId="3" xfId="3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0" fontId="48" fillId="0" borderId="2" xfId="382" applyFont="1" applyFill="1" applyBorder="1" applyAlignment="1">
      <alignment vertical="center" wrapText="1"/>
    </xf>
    <xf numFmtId="0" fontId="48" fillId="0" borderId="2" xfId="4" applyFont="1" applyFill="1" applyBorder="1" applyAlignment="1">
      <alignment horizontal="left" vertical="center" wrapText="1"/>
    </xf>
    <xf numFmtId="0" fontId="48" fillId="0" borderId="3" xfId="4" applyFont="1" applyFill="1" applyBorder="1" applyAlignment="1">
      <alignment horizontal="left" vertical="center" wrapText="1"/>
    </xf>
    <xf numFmtId="0" fontId="48" fillId="0" borderId="16" xfId="4" applyFont="1" applyFill="1" applyBorder="1" applyAlignment="1">
      <alignment horizontal="left" vertical="center" wrapText="1"/>
    </xf>
    <xf numFmtId="0" fontId="49" fillId="0" borderId="2" xfId="4" applyFont="1" applyFill="1" applyBorder="1" applyAlignment="1">
      <alignment horizontal="left" vertical="center" wrapText="1"/>
    </xf>
    <xf numFmtId="3" fontId="48" fillId="0" borderId="2" xfId="0" applyNumberFormat="1" applyFont="1" applyFill="1" applyBorder="1" applyAlignment="1">
      <alignment horizontal="center"/>
    </xf>
    <xf numFmtId="3" fontId="48" fillId="0" borderId="2" xfId="382" applyNumberFormat="1" applyFont="1" applyFill="1" applyBorder="1" applyAlignment="1">
      <alignment horizontal="center" vertical="center" wrapText="1"/>
    </xf>
    <xf numFmtId="0" fontId="48" fillId="0" borderId="3" xfId="382" applyFont="1" applyFill="1" applyBorder="1" applyAlignment="1">
      <alignment vertical="center" wrapText="1"/>
    </xf>
    <xf numFmtId="0" fontId="48" fillId="0" borderId="16" xfId="382" applyFont="1" applyFill="1" applyBorder="1" applyAlignment="1">
      <alignment vertical="center" wrapText="1"/>
    </xf>
    <xf numFmtId="3" fontId="48" fillId="0" borderId="2" xfId="0" applyNumberFormat="1" applyFont="1" applyFill="1" applyBorder="1"/>
    <xf numFmtId="0" fontId="48" fillId="0" borderId="2" xfId="0" applyFont="1" applyFill="1" applyBorder="1"/>
    <xf numFmtId="0" fontId="49" fillId="0" borderId="0" xfId="4" applyFont="1" applyFill="1" applyBorder="1" applyAlignment="1">
      <alignment horizontal="left" vertical="center" wrapText="1"/>
    </xf>
    <xf numFmtId="0" fontId="8" fillId="0" borderId="0" xfId="120" applyFont="1" applyFill="1"/>
    <xf numFmtId="3" fontId="8" fillId="0" borderId="0" xfId="120" applyNumberFormat="1" applyFont="1" applyFill="1"/>
    <xf numFmtId="0" fontId="5" fillId="0" borderId="0" xfId="120" applyFont="1" applyFill="1"/>
    <xf numFmtId="0" fontId="5" fillId="0" borderId="0" xfId="120" applyFont="1" applyFill="1" applyAlignment="1">
      <alignment horizontal="center"/>
    </xf>
    <xf numFmtId="0" fontId="54" fillId="0" borderId="0" xfId="246" applyFont="1" applyFill="1" applyBorder="1" applyAlignment="1">
      <alignment vertical="center" wrapText="1"/>
    </xf>
    <xf numFmtId="0" fontId="53" fillId="0" borderId="0" xfId="246" applyFont="1" applyFill="1" applyBorder="1" applyAlignment="1">
      <alignment vertical="center" wrapText="1"/>
    </xf>
    <xf numFmtId="0" fontId="53" fillId="0" borderId="0" xfId="246" applyFont="1" applyFill="1" applyBorder="1" applyAlignment="1">
      <alignment horizontal="center" vertical="center" wrapText="1"/>
    </xf>
    <xf numFmtId="0" fontId="51" fillId="0" borderId="0" xfId="120" applyFont="1" applyFill="1" applyBorder="1" applyAlignment="1">
      <alignment horizontal="left" vertical="center" wrapText="1"/>
    </xf>
    <xf numFmtId="3" fontId="51" fillId="0" borderId="0" xfId="120" applyNumberFormat="1" applyFont="1" applyFill="1" applyBorder="1" applyAlignment="1">
      <alignment horizontal="center" vertical="center" wrapText="1"/>
    </xf>
    <xf numFmtId="0" fontId="55" fillId="0" borderId="0" xfId="120" applyFont="1" applyFill="1"/>
    <xf numFmtId="0" fontId="56" fillId="0" borderId="0" xfId="120" applyFont="1" applyFill="1" applyAlignment="1">
      <alignment horizontal="right" vertical="top"/>
    </xf>
    <xf numFmtId="0" fontId="50" fillId="0" borderId="2" xfId="120" applyFont="1" applyFill="1" applyBorder="1" applyAlignment="1">
      <alignment horizontal="center" vertical="center" wrapText="1" shrinkToFit="1"/>
    </xf>
    <xf numFmtId="3" fontId="50" fillId="0" borderId="2" xfId="120" applyNumberFormat="1" applyFont="1" applyFill="1" applyBorder="1" applyAlignment="1">
      <alignment horizontal="center" vertical="center" wrapText="1"/>
    </xf>
    <xf numFmtId="0" fontId="50" fillId="0" borderId="2" xfId="120" applyFont="1" applyFill="1" applyBorder="1" applyAlignment="1">
      <alignment vertical="center" wrapText="1" shrinkToFit="1"/>
    </xf>
    <xf numFmtId="3" fontId="57" fillId="0" borderId="2" xfId="120" applyNumberFormat="1" applyFont="1" applyFill="1" applyBorder="1" applyAlignment="1">
      <alignment horizontal="center" vertical="center" wrapText="1" shrinkToFit="1"/>
    </xf>
    <xf numFmtId="3" fontId="57" fillId="0" borderId="2" xfId="120" applyNumberFormat="1" applyFont="1" applyFill="1" applyBorder="1" applyAlignment="1">
      <alignment vertical="center" wrapText="1" shrinkToFit="1"/>
    </xf>
    <xf numFmtId="0" fontId="50" fillId="0" borderId="2" xfId="120" applyFont="1" applyFill="1" applyBorder="1" applyAlignment="1">
      <alignment horizontal="left" vertical="center" wrapText="1"/>
    </xf>
    <xf numFmtId="0" fontId="52" fillId="0" borderId="0" xfId="120" applyFont="1" applyFill="1" applyAlignment="1">
      <alignment horizontal="center"/>
    </xf>
    <xf numFmtId="0" fontId="58" fillId="0" borderId="2" xfId="120" applyFont="1" applyFill="1" applyBorder="1" applyAlignment="1">
      <alignment horizontal="center" vertical="center" wrapText="1"/>
    </xf>
    <xf numFmtId="3" fontId="58" fillId="0" borderId="2" xfId="120" applyNumberFormat="1" applyFont="1" applyFill="1" applyBorder="1" applyAlignment="1">
      <alignment horizontal="center" vertical="center" wrapText="1"/>
    </xf>
    <xf numFmtId="0" fontId="50" fillId="0" borderId="2" xfId="246" applyFont="1" applyFill="1" applyBorder="1" applyAlignment="1">
      <alignment vertical="center"/>
    </xf>
    <xf numFmtId="3" fontId="7" fillId="0" borderId="2" xfId="120" applyNumberFormat="1" applyFont="1" applyFill="1" applyBorder="1"/>
    <xf numFmtId="3" fontId="7" fillId="0" borderId="16" xfId="120" applyNumberFormat="1" applyFont="1" applyFill="1" applyBorder="1"/>
    <xf numFmtId="0" fontId="59" fillId="0" borderId="0" xfId="120" applyFont="1" applyFill="1"/>
    <xf numFmtId="1" fontId="7" fillId="0" borderId="2" xfId="120" applyNumberFormat="1" applyFont="1" applyFill="1" applyBorder="1" applyAlignment="1">
      <alignment horizontal="right" vertical="center" wrapText="1" shrinkToFit="1"/>
    </xf>
    <xf numFmtId="0" fontId="52" fillId="0" borderId="0" xfId="120" applyFont="1" applyFill="1"/>
    <xf numFmtId="0" fontId="57" fillId="0" borderId="0" xfId="120" applyFont="1" applyFill="1"/>
    <xf numFmtId="0" fontId="58" fillId="0" borderId="2" xfId="403" applyFont="1" applyFill="1" applyBorder="1" applyAlignment="1">
      <alignment horizontal="center" vertical="center" wrapText="1"/>
    </xf>
    <xf numFmtId="0" fontId="7" fillId="0" borderId="2" xfId="120" applyFont="1" applyFill="1" applyBorder="1" applyAlignment="1">
      <alignment horizontal="right" vertical="center" wrapText="1" shrinkToFit="1"/>
    </xf>
    <xf numFmtId="3" fontId="7" fillId="0" borderId="2" xfId="120" applyNumberFormat="1" applyFont="1" applyFill="1" applyBorder="1" applyAlignment="1">
      <alignment horizontal="right" vertical="center" wrapText="1" shrinkToFit="1"/>
    </xf>
    <xf numFmtId="0" fontId="58" fillId="0" borderId="2" xfId="246" applyFont="1" applyFill="1" applyBorder="1" applyAlignment="1">
      <alignment horizontal="center" vertical="center"/>
    </xf>
    <xf numFmtId="0" fontId="61" fillId="0" borderId="0" xfId="120" applyFont="1" applyFill="1"/>
    <xf numFmtId="0" fontId="56" fillId="0" borderId="0" xfId="120" applyFont="1" applyFill="1" applyAlignment="1">
      <alignment horizontal="center" vertical="center"/>
    </xf>
    <xf numFmtId="3" fontId="50" fillId="0" borderId="2" xfId="120" applyNumberFormat="1" applyFont="1" applyFill="1" applyBorder="1" applyAlignment="1">
      <alignment horizontal="center" vertical="center"/>
    </xf>
    <xf numFmtId="0" fontId="59" fillId="0" borderId="0" xfId="120" applyFont="1" applyFill="1" applyAlignment="1">
      <alignment horizontal="center" vertical="center"/>
    </xf>
    <xf numFmtId="0" fontId="5" fillId="0" borderId="0" xfId="120" applyFont="1" applyFill="1" applyAlignment="1">
      <alignment horizontal="center" vertical="center"/>
    </xf>
    <xf numFmtId="0" fontId="50" fillId="0" borderId="2" xfId="120" applyFont="1" applyFill="1" applyBorder="1" applyAlignment="1">
      <alignment horizontal="left" vertical="center" wrapText="1" shrinkToFit="1"/>
    </xf>
    <xf numFmtId="3" fontId="58" fillId="0" borderId="2" xfId="120" applyNumberFormat="1" applyFont="1" applyFill="1" applyBorder="1" applyAlignment="1">
      <alignment horizontal="center" vertical="center" wrapText="1" shrinkToFit="1"/>
    </xf>
    <xf numFmtId="0" fontId="50" fillId="0" borderId="2" xfId="246" applyFont="1" applyFill="1" applyBorder="1" applyAlignment="1">
      <alignment horizontal="left" vertical="center" wrapText="1"/>
    </xf>
    <xf numFmtId="3" fontId="50" fillId="0" borderId="1" xfId="120" applyNumberFormat="1" applyFont="1" applyFill="1" applyBorder="1" applyAlignment="1">
      <alignment horizontal="center" vertical="center"/>
    </xf>
    <xf numFmtId="3" fontId="55" fillId="0" borderId="0" xfId="120" applyNumberFormat="1" applyFont="1" applyFill="1"/>
    <xf numFmtId="0" fontId="51" fillId="0" borderId="0" xfId="120" applyFont="1" applyFill="1" applyBorder="1" applyAlignment="1">
      <alignment horizontal="left" vertical="center" wrapText="1" shrinkToFit="1"/>
    </xf>
    <xf numFmtId="0" fontId="7" fillId="0" borderId="0" xfId="120" applyFont="1" applyFill="1" applyAlignment="1">
      <alignment horizontal="left" vertical="center" wrapText="1"/>
    </xf>
    <xf numFmtId="0" fontId="50" fillId="0" borderId="0" xfId="120" applyFont="1" applyFill="1" applyAlignment="1">
      <alignment horizontal="left" vertical="center" wrapText="1"/>
    </xf>
    <xf numFmtId="0" fontId="62" fillId="0" borderId="0" xfId="257" applyFont="1" applyFill="1"/>
    <xf numFmtId="0" fontId="50" fillId="0" borderId="0" xfId="120" applyFont="1" applyFill="1" applyBorder="1" applyAlignment="1">
      <alignment horizontal="center" vertical="center" wrapText="1" shrinkToFit="1"/>
    </xf>
    <xf numFmtId="3" fontId="50" fillId="0" borderId="0" xfId="120" applyNumberFormat="1" applyFont="1" applyFill="1" applyBorder="1" applyAlignment="1">
      <alignment horizontal="center" vertical="center" wrapText="1"/>
    </xf>
    <xf numFmtId="0" fontId="63" fillId="0" borderId="0" xfId="257" applyFont="1" applyFill="1"/>
    <xf numFmtId="3" fontId="63" fillId="0" borderId="0" xfId="257" applyNumberFormat="1" applyFont="1" applyFill="1"/>
    <xf numFmtId="3" fontId="8" fillId="0" borderId="0" xfId="120" applyNumberFormat="1" applyFont="1" applyFill="1" applyBorder="1" applyAlignment="1">
      <alignment horizontal="right" vertical="center" wrapText="1" shrinkToFit="1"/>
    </xf>
    <xf numFmtId="0" fontId="7" fillId="0" borderId="0" xfId="120" applyFont="1" applyFill="1" applyBorder="1" applyAlignment="1">
      <alignment horizontal="left" vertical="center" wrapText="1"/>
    </xf>
    <xf numFmtId="0" fontId="50" fillId="0" borderId="17" xfId="120" applyFont="1" applyFill="1" applyBorder="1" applyAlignment="1">
      <alignment horizontal="left" vertical="center" wrapText="1"/>
    </xf>
    <xf numFmtId="0" fontId="50" fillId="0" borderId="6" xfId="257" applyFont="1" applyFill="1" applyBorder="1"/>
    <xf numFmtId="0" fontId="64" fillId="0" borderId="0" xfId="257" applyFont="1" applyFill="1"/>
    <xf numFmtId="0" fontId="6" fillId="0" borderId="18" xfId="2" applyFont="1" applyBorder="1" applyAlignment="1">
      <alignment vertical="center" wrapText="1"/>
    </xf>
    <xf numFmtId="0" fontId="6" fillId="0" borderId="19" xfId="2" applyFont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2" xfId="3" applyFont="1" applyBorder="1" applyAlignment="1">
      <alignment vertical="center" wrapText="1"/>
    </xf>
    <xf numFmtId="1" fontId="6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1" xfId="3" applyFont="1" applyBorder="1" applyAlignment="1">
      <alignment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right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18" xfId="3" applyFont="1" applyBorder="1" applyAlignment="1">
      <alignment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5" fillId="0" borderId="2" xfId="3" applyFont="1" applyBorder="1" applyAlignment="1">
      <alignment horizontal="left" vertical="center" wrapText="1"/>
    </xf>
    <xf numFmtId="0" fontId="6" fillId="0" borderId="0" xfId="0" applyFont="1"/>
    <xf numFmtId="1" fontId="6" fillId="0" borderId="2" xfId="3" applyNumberFormat="1" applyFont="1" applyFill="1" applyBorder="1" applyAlignment="1">
      <alignment horizontal="right" vertical="center" wrapText="1"/>
    </xf>
    <xf numFmtId="0" fontId="6" fillId="0" borderId="0" xfId="1" applyFont="1" applyFill="1"/>
    <xf numFmtId="0" fontId="6" fillId="0" borderId="0" xfId="0" applyFont="1" applyFill="1"/>
    <xf numFmtId="0" fontId="6" fillId="0" borderId="0" xfId="3" applyFont="1" applyFill="1" applyAlignment="1">
      <alignment horizontal="center" vertical="center" wrapText="1"/>
    </xf>
    <xf numFmtId="4" fontId="6" fillId="0" borderId="0" xfId="3" applyNumberFormat="1" applyFont="1" applyFill="1" applyAlignment="1">
      <alignment horizontal="center" vertical="center" wrapText="1"/>
    </xf>
    <xf numFmtId="0" fontId="65" fillId="0" borderId="0" xfId="0" applyFont="1"/>
    <xf numFmtId="0" fontId="65" fillId="0" borderId="1" xfId="3" applyNumberFormat="1" applyFont="1" applyBorder="1" applyAlignment="1">
      <alignment horizontal="left" vertical="center" wrapText="1"/>
    </xf>
    <xf numFmtId="0" fontId="65" fillId="0" borderId="1" xfId="3" applyFont="1" applyBorder="1" applyAlignment="1">
      <alignment vertical="center" wrapText="1"/>
    </xf>
    <xf numFmtId="1" fontId="65" fillId="0" borderId="2" xfId="3" applyNumberFormat="1" applyFont="1" applyFill="1" applyBorder="1" applyAlignment="1">
      <alignment horizontal="center" vertical="center" wrapText="1"/>
    </xf>
    <xf numFmtId="0" fontId="65" fillId="0" borderId="2" xfId="3" applyFont="1" applyFill="1" applyBorder="1" applyAlignment="1">
      <alignment horizontal="center" vertical="center" wrapText="1"/>
    </xf>
    <xf numFmtId="0" fontId="65" fillId="0" borderId="0" xfId="0" applyFont="1" applyFill="1"/>
    <xf numFmtId="0" fontId="6" fillId="0" borderId="3" xfId="3" applyFont="1" applyFill="1" applyBorder="1" applyAlignment="1">
      <alignment horizontal="right" vertical="center" wrapText="1"/>
    </xf>
    <xf numFmtId="0" fontId="65" fillId="0" borderId="2" xfId="3" applyFont="1" applyBorder="1" applyAlignment="1">
      <alignment vertical="center" wrapText="1"/>
    </xf>
    <xf numFmtId="0" fontId="48" fillId="0" borderId="0" xfId="120" applyFont="1" applyFill="1" applyAlignment="1">
      <alignment horizontal="left" vertical="center" wrapText="1"/>
    </xf>
    <xf numFmtId="3" fontId="49" fillId="0" borderId="0" xfId="4" applyNumberFormat="1" applyFont="1" applyFill="1" applyAlignment="1">
      <alignment horizontal="center" vertical="center" wrapText="1"/>
    </xf>
    <xf numFmtId="0" fontId="48" fillId="0" borderId="0" xfId="120" applyFont="1" applyFill="1" applyBorder="1" applyAlignment="1">
      <alignment horizontal="left" vertical="center" wrapText="1"/>
    </xf>
    <xf numFmtId="0" fontId="49" fillId="0" borderId="0" xfId="120" applyFont="1" applyFill="1" applyAlignment="1">
      <alignment horizontal="left" vertical="center" wrapText="1"/>
    </xf>
    <xf numFmtId="0" fontId="49" fillId="0" borderId="17" xfId="120" applyFont="1" applyFill="1" applyBorder="1" applyAlignment="1">
      <alignment horizontal="left" vertical="center" wrapText="1"/>
    </xf>
    <xf numFmtId="3" fontId="49" fillId="0" borderId="6" xfId="4" applyNumberFormat="1" applyFont="1" applyFill="1" applyBorder="1" applyAlignment="1">
      <alignment horizontal="center" vertical="center" wrapText="1"/>
    </xf>
    <xf numFmtId="3" fontId="48" fillId="0" borderId="0" xfId="4" applyNumberFormat="1" applyFont="1" applyFill="1" applyAlignment="1">
      <alignment horizontal="center" vertical="center" wrapText="1"/>
    </xf>
    <xf numFmtId="0" fontId="48" fillId="0" borderId="2" xfId="382" applyFont="1" applyFill="1" applyBorder="1" applyAlignment="1">
      <alignment vertical="center"/>
    </xf>
    <xf numFmtId="3" fontId="48" fillId="0" borderId="2" xfId="0" applyNumberFormat="1" applyFont="1" applyFill="1" applyBorder="1" applyAlignment="1">
      <alignment horizontal="right"/>
    </xf>
    <xf numFmtId="3" fontId="48" fillId="0" borderId="3" xfId="0" applyNumberFormat="1" applyFont="1" applyFill="1" applyBorder="1"/>
    <xf numFmtId="0" fontId="48" fillId="0" borderId="3" xfId="0" applyFont="1" applyFill="1" applyBorder="1"/>
    <xf numFmtId="1" fontId="48" fillId="0" borderId="2" xfId="0" applyNumberFormat="1" applyFont="1" applyFill="1" applyBorder="1"/>
    <xf numFmtId="0" fontId="48" fillId="0" borderId="0" xfId="0" applyFont="1" applyFill="1"/>
    <xf numFmtId="0" fontId="49" fillId="0" borderId="0" xfId="4" applyFont="1" applyFill="1" applyAlignment="1">
      <alignment horizontal="left" vertical="center" wrapText="1"/>
    </xf>
    <xf numFmtId="0" fontId="48" fillId="0" borderId="0" xfId="4" applyFont="1" applyFill="1" applyAlignment="1">
      <alignment horizontal="right" vertical="top"/>
    </xf>
    <xf numFmtId="0" fontId="48" fillId="0" borderId="0" xfId="269" applyFont="1" applyFill="1" applyBorder="1" applyAlignment="1">
      <alignment horizontal="left" vertical="center"/>
    </xf>
    <xf numFmtId="0" fontId="49" fillId="0" borderId="0" xfId="269" applyFont="1" applyFill="1" applyBorder="1" applyAlignment="1">
      <alignment horizontal="center" vertical="center" wrapText="1"/>
    </xf>
    <xf numFmtId="3" fontId="48" fillId="0" borderId="2" xfId="4" applyNumberFormat="1" applyFont="1" applyFill="1" applyBorder="1" applyAlignment="1">
      <alignment horizontal="center" vertical="center" wrapText="1"/>
    </xf>
    <xf numFmtId="3" fontId="48" fillId="0" borderId="16" xfId="0" applyNumberFormat="1" applyFont="1" applyFill="1" applyBorder="1"/>
    <xf numFmtId="0" fontId="48" fillId="0" borderId="16" xfId="0" applyFont="1" applyFill="1" applyBorder="1"/>
    <xf numFmtId="0" fontId="49" fillId="0" borderId="2" xfId="4" applyNumberFormat="1" applyFont="1" applyFill="1" applyBorder="1" applyAlignment="1">
      <alignment horizontal="left" vertical="center" wrapText="1"/>
    </xf>
    <xf numFmtId="0" fontId="48" fillId="0" borderId="2" xfId="0" applyFont="1" applyFill="1" applyBorder="1" applyAlignment="1">
      <alignment horizontal="center"/>
    </xf>
    <xf numFmtId="3" fontId="48" fillId="0" borderId="16" xfId="0" applyNumberFormat="1" applyFont="1" applyFill="1" applyBorder="1" applyAlignment="1">
      <alignment horizontal="center"/>
    </xf>
    <xf numFmtId="0" fontId="48" fillId="0" borderId="2" xfId="0" applyFont="1" applyFill="1" applyBorder="1" applyAlignment="1">
      <alignment horizontal="right"/>
    </xf>
    <xf numFmtId="3" fontId="48" fillId="0" borderId="3" xfId="0" applyNumberFormat="1" applyFont="1" applyFill="1" applyBorder="1" applyAlignment="1">
      <alignment horizontal="right"/>
    </xf>
    <xf numFmtId="0" fontId="48" fillId="0" borderId="3" xfId="0" applyFont="1" applyFill="1" applyBorder="1" applyAlignment="1">
      <alignment horizontal="right"/>
    </xf>
    <xf numFmtId="0" fontId="48" fillId="0" borderId="16" xfId="0" applyFont="1" applyFill="1" applyBorder="1" applyAlignment="1">
      <alignment horizontal="right"/>
    </xf>
    <xf numFmtId="3" fontId="48" fillId="0" borderId="16" xfId="0" applyNumberFormat="1" applyFont="1" applyFill="1" applyBorder="1" applyAlignment="1">
      <alignment horizontal="right"/>
    </xf>
    <xf numFmtId="1" fontId="48" fillId="0" borderId="3" xfId="0" applyNumberFormat="1" applyFont="1" applyFill="1" applyBorder="1"/>
    <xf numFmtId="1" fontId="48" fillId="0" borderId="16" xfId="0" applyNumberFormat="1" applyFont="1" applyFill="1" applyBorder="1"/>
    <xf numFmtId="0" fontId="48" fillId="0" borderId="2" xfId="4" applyFont="1" applyFill="1" applyBorder="1"/>
    <xf numFmtId="3" fontId="48" fillId="0" borderId="2" xfId="4" applyNumberFormat="1" applyFont="1" applyFill="1" applyBorder="1"/>
    <xf numFmtId="0" fontId="67" fillId="0" borderId="0" xfId="4" applyFont="1" applyFill="1" applyAlignment="1">
      <alignment horizontal="right"/>
    </xf>
    <xf numFmtId="0" fontId="48" fillId="0" borderId="0" xfId="4" applyFont="1" applyFill="1" applyAlignment="1">
      <alignment horizontal="left" vertical="center" wrapText="1"/>
    </xf>
    <xf numFmtId="3" fontId="49" fillId="0" borderId="2" xfId="4" applyNumberFormat="1" applyFont="1" applyFill="1" applyBorder="1" applyAlignment="1">
      <alignment horizontal="center" vertical="center" wrapText="1"/>
    </xf>
    <xf numFmtId="3" fontId="49" fillId="0" borderId="0" xfId="4" applyNumberFormat="1" applyFont="1" applyFill="1" applyAlignment="1">
      <alignment horizontal="left" vertical="center" wrapText="1"/>
    </xf>
    <xf numFmtId="0" fontId="68" fillId="0" borderId="0" xfId="4" applyFont="1" applyFill="1" applyAlignment="1">
      <alignment horizontal="right"/>
    </xf>
    <xf numFmtId="0" fontId="48" fillId="0" borderId="0" xfId="4" applyFont="1" applyFill="1" applyBorder="1" applyAlignment="1">
      <alignment horizontal="left" vertical="center" wrapText="1"/>
    </xf>
    <xf numFmtId="3" fontId="48" fillId="0" borderId="0" xfId="4" applyNumberFormat="1" applyFont="1" applyFill="1" applyAlignment="1">
      <alignment horizontal="left" vertical="center" wrapText="1"/>
    </xf>
    <xf numFmtId="0" fontId="67" fillId="0" borderId="0" xfId="4" applyFont="1" applyFill="1" applyAlignment="1">
      <alignment horizontal="right" vertical="center"/>
    </xf>
    <xf numFmtId="3" fontId="49" fillId="0" borderId="0" xfId="4" applyNumberFormat="1" applyFont="1" applyFill="1" applyAlignment="1">
      <alignment horizontal="right" vertical="center" wrapText="1"/>
    </xf>
    <xf numFmtId="3" fontId="48" fillId="0" borderId="0" xfId="4" applyNumberFormat="1" applyFont="1" applyFill="1" applyAlignment="1">
      <alignment horizontal="right" vertical="center" wrapText="1"/>
    </xf>
    <xf numFmtId="0" fontId="68" fillId="0" borderId="0" xfId="4" applyFont="1" applyFill="1" applyAlignment="1">
      <alignment horizontal="right" vertical="center"/>
    </xf>
    <xf numFmtId="0" fontId="49" fillId="0" borderId="17" xfId="4" applyFont="1" applyFill="1" applyBorder="1" applyAlignment="1">
      <alignment horizontal="left" vertical="center" wrapText="1"/>
    </xf>
    <xf numFmtId="3" fontId="49" fillId="0" borderId="6" xfId="4" applyNumberFormat="1" applyFont="1" applyFill="1" applyBorder="1" applyAlignment="1">
      <alignment horizontal="right" vertical="center" wrapText="1"/>
    </xf>
    <xf numFmtId="0" fontId="56" fillId="0" borderId="2" xfId="1" applyFont="1" applyFill="1" applyBorder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4" fontId="4" fillId="0" borderId="0" xfId="1" applyNumberFormat="1" applyFont="1" applyFill="1"/>
    <xf numFmtId="3" fontId="4" fillId="0" borderId="2" xfId="4" applyNumberFormat="1" applyFont="1" applyFill="1" applyBorder="1" applyAlignment="1">
      <alignment horizontal="center" vertical="center" wrapText="1"/>
    </xf>
    <xf numFmtId="0" fontId="4" fillId="0" borderId="2" xfId="1" applyFont="1" applyFill="1" applyBorder="1"/>
    <xf numFmtId="0" fontId="56" fillId="0" borderId="2" xfId="1" applyNumberFormat="1" applyFont="1" applyFill="1" applyBorder="1"/>
    <xf numFmtId="3" fontId="4" fillId="0" borderId="2" xfId="1" applyNumberFormat="1" applyFont="1" applyFill="1" applyBorder="1" applyAlignment="1">
      <alignment horizontal="center"/>
    </xf>
    <xf numFmtId="0" fontId="4" fillId="0" borderId="3" xfId="1" applyFont="1" applyFill="1" applyBorder="1"/>
    <xf numFmtId="3" fontId="4" fillId="0" borderId="3" xfId="1" applyNumberFormat="1" applyFont="1" applyFill="1" applyBorder="1"/>
    <xf numFmtId="0" fontId="62" fillId="0" borderId="0" xfId="1" applyFont="1" applyFill="1"/>
    <xf numFmtId="0" fontId="63" fillId="0" borderId="0" xfId="1" applyFont="1" applyFill="1"/>
    <xf numFmtId="0" fontId="54" fillId="0" borderId="0" xfId="246" applyFont="1" applyFill="1" applyBorder="1" applyAlignment="1">
      <alignment horizontal="right" vertical="top"/>
    </xf>
    <xf numFmtId="0" fontId="2" fillId="0" borderId="0" xfId="1"/>
    <xf numFmtId="0" fontId="5" fillId="0" borderId="0" xfId="120"/>
    <xf numFmtId="0" fontId="50" fillId="0" borderId="22" xfId="120" applyFont="1" applyFill="1" applyBorder="1" applyAlignment="1">
      <alignment horizontal="center" vertical="center" wrapText="1" shrinkToFit="1"/>
    </xf>
    <xf numFmtId="3" fontId="70" fillId="0" borderId="25" xfId="274" applyNumberFormat="1" applyFont="1" applyFill="1" applyBorder="1" applyAlignment="1">
      <alignment vertical="center" wrapText="1"/>
    </xf>
    <xf numFmtId="3" fontId="50" fillId="27" borderId="2" xfId="120" applyNumberFormat="1" applyFont="1" applyFill="1" applyBorder="1" applyAlignment="1">
      <alignment vertical="center" textRotation="90" wrapText="1" shrinkToFit="1"/>
    </xf>
    <xf numFmtId="3" fontId="50" fillId="26" borderId="2" xfId="120" applyNumberFormat="1" applyFont="1" applyFill="1" applyBorder="1" applyAlignment="1">
      <alignment vertical="center" textRotation="90" wrapText="1" shrinkToFit="1"/>
    </xf>
    <xf numFmtId="3" fontId="57" fillId="0" borderId="2" xfId="120" applyNumberFormat="1" applyFont="1" applyFill="1" applyBorder="1" applyAlignment="1">
      <alignment vertical="center" textRotation="90" wrapText="1" shrinkToFit="1"/>
    </xf>
    <xf numFmtId="3" fontId="50" fillId="27" borderId="3" xfId="120" applyNumberFormat="1" applyFont="1" applyFill="1" applyBorder="1" applyAlignment="1">
      <alignment vertical="center" textRotation="90" wrapText="1" shrinkToFit="1"/>
    </xf>
    <xf numFmtId="0" fontId="72" fillId="28" borderId="0" xfId="120" applyFont="1" applyFill="1"/>
    <xf numFmtId="0" fontId="50" fillId="0" borderId="2" xfId="246" applyFont="1" applyFill="1" applyBorder="1" applyAlignment="1">
      <alignment vertical="center" wrapText="1"/>
    </xf>
    <xf numFmtId="3" fontId="7" fillId="0" borderId="2" xfId="120" applyNumberFormat="1" applyFont="1" applyFill="1" applyBorder="1" applyAlignment="1">
      <alignment horizontal="right" wrapText="1" shrinkToFit="1"/>
    </xf>
    <xf numFmtId="3" fontId="50" fillId="0" borderId="1" xfId="120" applyNumberFormat="1" applyFont="1" applyFill="1" applyBorder="1" applyAlignment="1">
      <alignment horizontal="right" wrapText="1" shrinkToFit="1"/>
    </xf>
    <xf numFmtId="3" fontId="73" fillId="0" borderId="0" xfId="120" applyNumberFormat="1" applyFont="1" applyFill="1"/>
    <xf numFmtId="3" fontId="74" fillId="0" borderId="0" xfId="120" applyNumberFormat="1" applyFont="1" applyFill="1"/>
    <xf numFmtId="4" fontId="75" fillId="28" borderId="0" xfId="120" applyNumberFormat="1" applyFont="1" applyFill="1"/>
    <xf numFmtId="3" fontId="50" fillId="0" borderId="2" xfId="120" applyNumberFormat="1" applyFont="1" applyFill="1" applyBorder="1" applyAlignment="1">
      <alignment horizontal="right" wrapText="1" shrinkToFit="1"/>
    </xf>
    <xf numFmtId="3" fontId="76" fillId="0" borderId="0" xfId="120" applyNumberFormat="1" applyFont="1" applyFill="1"/>
    <xf numFmtId="3" fontId="77" fillId="0" borderId="0" xfId="120" applyNumberFormat="1" applyFont="1" applyFill="1"/>
    <xf numFmtId="4" fontId="72" fillId="28" borderId="0" xfId="120" applyNumberFormat="1" applyFont="1" applyFill="1"/>
    <xf numFmtId="4" fontId="59" fillId="0" borderId="0" xfId="120" applyNumberFormat="1" applyFont="1" applyFill="1"/>
    <xf numFmtId="2" fontId="72" fillId="28" borderId="0" xfId="120" applyNumberFormat="1" applyFont="1" applyFill="1" applyBorder="1"/>
    <xf numFmtId="0" fontId="57" fillId="0" borderId="0" xfId="120" applyFont="1" applyFill="1" applyAlignment="1">
      <alignment horizontal="center"/>
    </xf>
    <xf numFmtId="3" fontId="7" fillId="0" borderId="2" xfId="120" applyNumberFormat="1" applyFont="1" applyFill="1" applyBorder="1" applyAlignment="1">
      <alignment horizontal="right"/>
    </xf>
    <xf numFmtId="3" fontId="8" fillId="0" borderId="2" xfId="120" applyNumberFormat="1" applyFont="1" applyFill="1" applyBorder="1" applyAlignment="1">
      <alignment horizontal="right"/>
    </xf>
    <xf numFmtId="3" fontId="57" fillId="0" borderId="2" xfId="120" applyNumberFormat="1" applyFont="1" applyFill="1" applyBorder="1" applyAlignment="1">
      <alignment horizontal="right"/>
    </xf>
    <xf numFmtId="3" fontId="7" fillId="0" borderId="2" xfId="120" applyNumberFormat="1" applyFont="1" applyFill="1" applyBorder="1" applyAlignment="1">
      <alignment horizontal="right" vertical="center" wrapText="1"/>
    </xf>
    <xf numFmtId="2" fontId="72" fillId="28" borderId="0" xfId="120" applyNumberFormat="1" applyFont="1" applyFill="1"/>
    <xf numFmtId="0" fontId="69" fillId="28" borderId="0" xfId="120" applyFont="1" applyFill="1"/>
    <xf numFmtId="0" fontId="70" fillId="0" borderId="0" xfId="120" applyFont="1" applyFill="1" applyAlignment="1">
      <alignment horizontal="center"/>
    </xf>
    <xf numFmtId="0" fontId="78" fillId="0" borderId="0" xfId="120" applyFont="1" applyFill="1"/>
    <xf numFmtId="3" fontId="8" fillId="0" borderId="2" xfId="120" applyNumberFormat="1" applyFont="1" applyFill="1" applyBorder="1"/>
    <xf numFmtId="3" fontId="57" fillId="0" borderId="2" xfId="120" applyNumberFormat="1" applyFont="1" applyFill="1" applyBorder="1"/>
    <xf numFmtId="0" fontId="70" fillId="0" borderId="0" xfId="120" applyFont="1" applyFill="1"/>
    <xf numFmtId="0" fontId="5" fillId="29" borderId="0" xfId="120" applyFont="1" applyFill="1" applyAlignment="1">
      <alignment horizontal="center"/>
    </xf>
    <xf numFmtId="0" fontId="50" fillId="29" borderId="2" xfId="120" applyFont="1" applyFill="1" applyBorder="1" applyAlignment="1">
      <alignment horizontal="left" vertical="center" wrapText="1"/>
    </xf>
    <xf numFmtId="0" fontId="5" fillId="28" borderId="0" xfId="120" applyFont="1" applyFill="1"/>
    <xf numFmtId="0" fontId="72" fillId="28" borderId="6" xfId="120" applyFont="1" applyFill="1" applyBorder="1"/>
    <xf numFmtId="3" fontId="7" fillId="0" borderId="2" xfId="120" applyNumberFormat="1" applyFont="1" applyFill="1" applyBorder="1" applyAlignment="1">
      <alignment horizontal="right" vertical="center"/>
    </xf>
    <xf numFmtId="0" fontId="59" fillId="0" borderId="0" xfId="120" applyFont="1"/>
    <xf numFmtId="0" fontId="79" fillId="28" borderId="0" xfId="120" applyFont="1" applyFill="1" applyAlignment="1">
      <alignment horizontal="center"/>
    </xf>
    <xf numFmtId="0" fontId="80" fillId="28" borderId="0" xfId="120" applyFont="1" applyFill="1"/>
    <xf numFmtId="0" fontId="71" fillId="0" borderId="0" xfId="120" applyFont="1" applyFill="1"/>
    <xf numFmtId="0" fontId="78" fillId="0" borderId="0" xfId="120" applyFont="1" applyFill="1" applyAlignment="1">
      <alignment horizontal="center" vertical="center"/>
    </xf>
    <xf numFmtId="0" fontId="56" fillId="28" borderId="0" xfId="120" applyFont="1" applyFill="1" applyAlignment="1">
      <alignment horizontal="center" vertical="center"/>
    </xf>
    <xf numFmtId="0" fontId="58" fillId="0" borderId="2" xfId="246" applyFont="1" applyFill="1" applyBorder="1" applyAlignment="1">
      <alignment vertical="center" wrapText="1"/>
    </xf>
    <xf numFmtId="3" fontId="58" fillId="0" borderId="1" xfId="120" applyNumberFormat="1" applyFont="1" applyFill="1" applyBorder="1" applyAlignment="1">
      <alignment horizontal="center" vertical="center" wrapText="1" shrinkToFit="1"/>
    </xf>
    <xf numFmtId="0" fontId="52" fillId="30" borderId="0" xfId="120" applyFont="1" applyFill="1"/>
    <xf numFmtId="0" fontId="69" fillId="29" borderId="0" xfId="120" applyFont="1" applyFill="1"/>
    <xf numFmtId="0" fontId="82" fillId="0" borderId="0" xfId="1" applyFont="1" applyFill="1"/>
    <xf numFmtId="0" fontId="83" fillId="0" borderId="0" xfId="4" applyFont="1" applyFill="1"/>
    <xf numFmtId="0" fontId="84" fillId="0" borderId="0" xfId="4" applyFont="1" applyFill="1" applyAlignment="1">
      <alignment horizontal="left" vertical="center" wrapText="1"/>
    </xf>
    <xf numFmtId="0" fontId="83" fillId="0" borderId="0" xfId="4" applyFont="1" applyFill="1" applyAlignment="1">
      <alignment horizontal="left" vertical="center" wrapText="1"/>
    </xf>
    <xf numFmtId="0" fontId="85" fillId="0" borderId="0" xfId="4" applyFont="1" applyFill="1" applyAlignment="1">
      <alignment horizontal="right" vertical="top"/>
    </xf>
    <xf numFmtId="0" fontId="84" fillId="0" borderId="0" xfId="4" applyFont="1" applyFill="1"/>
    <xf numFmtId="0" fontId="5" fillId="0" borderId="0" xfId="4" applyFont="1" applyFill="1" applyBorder="1"/>
    <xf numFmtId="0" fontId="83" fillId="0" borderId="0" xfId="269" applyFont="1" applyFill="1" applyBorder="1" applyAlignment="1">
      <alignment horizontal="left" vertical="center" wrapText="1"/>
    </xf>
    <xf numFmtId="0" fontId="83" fillId="0" borderId="0" xfId="269" applyFont="1" applyFill="1" applyBorder="1" applyAlignment="1">
      <alignment horizontal="center" vertical="center" wrapText="1"/>
    </xf>
    <xf numFmtId="176" fontId="84" fillId="0" borderId="0" xfId="4" applyNumberFormat="1" applyFont="1" applyFill="1"/>
    <xf numFmtId="0" fontId="7" fillId="0" borderId="2" xfId="4" applyFont="1" applyFill="1" applyBorder="1" applyAlignment="1">
      <alignment horizontal="right" vertical="top" wrapText="1" shrinkToFit="1"/>
    </xf>
    <xf numFmtId="3" fontId="50" fillId="0" borderId="2" xfId="275" applyNumberFormat="1" applyFont="1" applyFill="1" applyBorder="1" applyAlignment="1">
      <alignment vertical="center" wrapText="1"/>
    </xf>
    <xf numFmtId="0" fontId="7" fillId="0" borderId="2" xfId="4" applyFont="1" applyFill="1" applyBorder="1" applyAlignment="1">
      <alignment horizontal="left" vertical="center" textRotation="90" wrapText="1"/>
    </xf>
    <xf numFmtId="0" fontId="84" fillId="0" borderId="2" xfId="4" applyFont="1" applyFill="1" applyBorder="1" applyAlignment="1">
      <alignment horizontal="left" vertical="center" textRotation="90" wrapText="1"/>
    </xf>
    <xf numFmtId="1" fontId="83" fillId="0" borderId="0" xfId="4" applyNumberFormat="1" applyFont="1" applyFill="1"/>
    <xf numFmtId="0" fontId="7" fillId="0" borderId="2" xfId="4" applyFont="1" applyFill="1" applyBorder="1" applyAlignment="1">
      <alignment horizontal="left" vertical="center" wrapText="1" shrinkToFit="1"/>
    </xf>
    <xf numFmtId="3" fontId="50" fillId="0" borderId="2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left" vertical="center" wrapText="1"/>
    </xf>
    <xf numFmtId="3" fontId="7" fillId="0" borderId="2" xfId="4" applyNumberFormat="1" applyFont="1" applyFill="1" applyBorder="1" applyAlignment="1">
      <alignment horizontal="center" wrapText="1"/>
    </xf>
    <xf numFmtId="0" fontId="7" fillId="0" borderId="2" xfId="4" applyFont="1" applyFill="1" applyBorder="1"/>
    <xf numFmtId="3" fontId="7" fillId="0" borderId="2" xfId="4" applyNumberFormat="1" applyFont="1" applyFill="1" applyBorder="1"/>
    <xf numFmtId="3" fontId="84" fillId="0" borderId="0" xfId="4" applyNumberFormat="1" applyFont="1" applyFill="1"/>
    <xf numFmtId="4" fontId="83" fillId="0" borderId="0" xfId="4" applyNumberFormat="1" applyFont="1" applyFill="1"/>
    <xf numFmtId="4" fontId="84" fillId="0" borderId="0" xfId="4" applyNumberFormat="1" applyFont="1" applyFill="1"/>
    <xf numFmtId="2" fontId="83" fillId="0" borderId="0" xfId="4" applyNumberFormat="1" applyFont="1" applyFill="1" applyBorder="1"/>
    <xf numFmtId="2" fontId="84" fillId="0" borderId="0" xfId="4" applyNumberFormat="1" applyFont="1" applyFill="1" applyBorder="1"/>
    <xf numFmtId="2" fontId="83" fillId="0" borderId="0" xfId="4" applyNumberFormat="1" applyFont="1" applyFill="1"/>
    <xf numFmtId="2" fontId="84" fillId="0" borderId="0" xfId="4" applyNumberFormat="1" applyFont="1" applyFill="1"/>
    <xf numFmtId="0" fontId="84" fillId="0" borderId="2" xfId="4" applyFont="1" applyFill="1" applyBorder="1" applyAlignment="1">
      <alignment horizontal="left" vertical="center" wrapText="1"/>
    </xf>
    <xf numFmtId="3" fontId="50" fillId="0" borderId="2" xfId="4" applyNumberFormat="1" applyFont="1" applyFill="1" applyBorder="1" applyAlignment="1">
      <alignment horizontal="center" vertical="center"/>
    </xf>
    <xf numFmtId="0" fontId="83" fillId="0" borderId="0" xfId="4" applyFont="1" applyFill="1" applyAlignment="1">
      <alignment horizontal="center"/>
    </xf>
    <xf numFmtId="0" fontId="83" fillId="0" borderId="0" xfId="4" applyFont="1" applyFill="1" applyAlignment="1">
      <alignment horizontal="center" vertical="center"/>
    </xf>
    <xf numFmtId="3" fontId="7" fillId="0" borderId="2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right"/>
    </xf>
    <xf numFmtId="3" fontId="7" fillId="0" borderId="2" xfId="4" applyNumberFormat="1" applyFont="1" applyFill="1" applyBorder="1" applyAlignment="1">
      <alignment horizontal="right" wrapText="1"/>
    </xf>
    <xf numFmtId="3" fontId="50" fillId="0" borderId="2" xfId="4" applyNumberFormat="1" applyFont="1" applyFill="1" applyBorder="1" applyAlignment="1">
      <alignment horizontal="right" wrapText="1"/>
    </xf>
    <xf numFmtId="0" fontId="83" fillId="0" borderId="0" xfId="4" applyFont="1" applyFill="1" applyAlignment="1">
      <alignment horizontal="right" vertical="center"/>
    </xf>
    <xf numFmtId="3" fontId="83" fillId="0" borderId="0" xfId="4" applyNumberFormat="1" applyFont="1" applyFill="1" applyAlignment="1">
      <alignment horizontal="right" vertical="center" wrapText="1"/>
    </xf>
    <xf numFmtId="0" fontId="84" fillId="0" borderId="0" xfId="4" applyFont="1" applyFill="1" applyAlignment="1">
      <alignment horizontal="right" vertical="center"/>
    </xf>
    <xf numFmtId="0" fontId="83" fillId="0" borderId="0" xfId="4" applyFont="1" applyFill="1" applyAlignment="1">
      <alignment horizontal="right"/>
    </xf>
    <xf numFmtId="0" fontId="84" fillId="0" borderId="0" xfId="4" applyFont="1" applyFill="1" applyAlignment="1">
      <alignment horizontal="right"/>
    </xf>
    <xf numFmtId="3" fontId="83" fillId="0" borderId="0" xfId="4" applyNumberFormat="1" applyFont="1" applyFill="1" applyAlignment="1">
      <alignment horizontal="left" vertical="center" wrapText="1"/>
    </xf>
    <xf numFmtId="0" fontId="81" fillId="0" borderId="2" xfId="4" applyFont="1" applyFill="1" applyBorder="1" applyAlignment="1">
      <alignment horizontal="left" vertical="center" wrapText="1"/>
    </xf>
    <xf numFmtId="0" fontId="81" fillId="0" borderId="2" xfId="4" applyFont="1" applyFill="1" applyBorder="1"/>
    <xf numFmtId="0" fontId="84" fillId="0" borderId="0" xfId="0" applyFont="1" applyFill="1"/>
    <xf numFmtId="3" fontId="81" fillId="0" borderId="2" xfId="4" applyNumberFormat="1" applyFont="1" applyFill="1" applyBorder="1" applyAlignment="1">
      <alignment horizontal="right" wrapText="1"/>
    </xf>
    <xf numFmtId="3" fontId="51" fillId="0" borderId="0" xfId="0" applyNumberFormat="1" applyFont="1" applyFill="1"/>
    <xf numFmtId="3" fontId="84" fillId="0" borderId="0" xfId="0" applyNumberFormat="1" applyFont="1" applyFill="1"/>
    <xf numFmtId="3" fontId="7" fillId="0" borderId="26" xfId="275" applyNumberFormat="1" applyFont="1" applyFill="1" applyBorder="1" applyAlignment="1">
      <alignment vertical="center" wrapText="1"/>
    </xf>
    <xf numFmtId="0" fontId="7" fillId="0" borderId="16" xfId="4" applyFont="1" applyFill="1" applyBorder="1" applyAlignment="1">
      <alignment horizontal="left" vertical="center" wrapText="1"/>
    </xf>
    <xf numFmtId="0" fontId="84" fillId="0" borderId="2" xfId="0" applyFont="1" applyFill="1" applyBorder="1" applyAlignment="1">
      <alignment vertical="top" wrapText="1"/>
    </xf>
    <xf numFmtId="0" fontId="88" fillId="0" borderId="0" xfId="269" applyFont="1" applyFill="1" applyBorder="1" applyAlignment="1">
      <alignment horizontal="center" vertical="center" wrapText="1"/>
    </xf>
    <xf numFmtId="0" fontId="86" fillId="0" borderId="0" xfId="269" applyFont="1" applyFill="1" applyBorder="1" applyAlignment="1">
      <alignment horizontal="center" vertical="center" wrapText="1"/>
    </xf>
    <xf numFmtId="0" fontId="83" fillId="0" borderId="0" xfId="269" applyFont="1" applyFill="1" applyBorder="1" applyAlignment="1">
      <alignment horizontal="center" vertical="center" wrapText="1"/>
    </xf>
    <xf numFmtId="0" fontId="53" fillId="0" borderId="21" xfId="246" applyFont="1" applyFill="1" applyBorder="1" applyAlignment="1">
      <alignment horizontal="center" vertical="center" wrapText="1"/>
    </xf>
    <xf numFmtId="3" fontId="57" fillId="0" borderId="23" xfId="274" applyNumberFormat="1" applyFont="1" applyFill="1" applyBorder="1" applyAlignment="1">
      <alignment horizontal="center" vertical="center" wrapText="1"/>
    </xf>
    <xf numFmtId="3" fontId="57" fillId="0" borderId="24" xfId="274" applyNumberFormat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5" fillId="0" borderId="0" xfId="2" applyFont="1" applyFill="1" applyBorder="1" applyAlignment="1">
      <alignment horizontal="center" vertical="center" wrapText="1"/>
    </xf>
    <xf numFmtId="0" fontId="53" fillId="0" borderId="0" xfId="246" applyFont="1" applyFill="1" applyBorder="1" applyAlignment="1">
      <alignment horizontal="center" vertical="center" wrapText="1"/>
    </xf>
    <xf numFmtId="0" fontId="65" fillId="0" borderId="0" xfId="269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</cellXfs>
  <cellStyles count="479">
    <cellStyle name="_PERSONAL" xfId="5"/>
    <cellStyle name="_PERSONAL_PERSONAL" xfId="6"/>
    <cellStyle name="_PERSONAL_PERSONAL_1" xfId="7"/>
    <cellStyle name="_PERSONAL_PERSONAL_2" xfId="8"/>
    <cellStyle name="_PERSONAL_PERSONAL_3" xfId="9"/>
    <cellStyle name="_PLDT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404"/>
    <cellStyle name="20% - Акцент2 2" xfId="405"/>
    <cellStyle name="20% - Акцент3 2" xfId="406"/>
    <cellStyle name="20% - Акцент4 2" xfId="407"/>
    <cellStyle name="20% - Акцент5 2" xfId="408"/>
    <cellStyle name="20% - Акцент6 2" xfId="409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- Акцент1 2" xfId="410"/>
    <cellStyle name="40% - Акцент2 2" xfId="411"/>
    <cellStyle name="40% - Акцент3 2" xfId="412"/>
    <cellStyle name="40% - Акцент4 2" xfId="413"/>
    <cellStyle name="40% - Акцент5 2" xfId="414"/>
    <cellStyle name="40% - Акцент6 2" xfId="415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60% - Акцент1 2" xfId="416"/>
    <cellStyle name="60% - Акцент2 2" xfId="417"/>
    <cellStyle name="60% - Акцент3 2" xfId="418"/>
    <cellStyle name="60% - Акцент4 2" xfId="419"/>
    <cellStyle name="60% - Акцент5 2" xfId="420"/>
    <cellStyle name="60% - Акцент6 2" xfId="421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 Currency (0)" xfId="36"/>
    <cellStyle name="Calc Currency (2)" xfId="37"/>
    <cellStyle name="Calc Percent (0)" xfId="38"/>
    <cellStyle name="Calc Percent (1)" xfId="39"/>
    <cellStyle name="Calc Percent (2)" xfId="40"/>
    <cellStyle name="Calc Units (0)" xfId="41"/>
    <cellStyle name="Calc Units (1)" xfId="42"/>
    <cellStyle name="Calc Units (2)" xfId="43"/>
    <cellStyle name="Calculation" xfId="44"/>
    <cellStyle name="Check Cell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Euro" xfId="58"/>
    <cellStyle name="Excel Built-in Normal" xfId="59"/>
    <cellStyle name="Excel Built-in Normal 2" xfId="60"/>
    <cellStyle name="Explanatory Text" xfId="61"/>
    <cellStyle name="Good" xfId="62"/>
    <cellStyle name="Grey" xfId="63"/>
    <cellStyle name="Header1" xfId="64"/>
    <cellStyle name="Header2" xfId="65"/>
    <cellStyle name="Heading" xfId="66"/>
    <cellStyle name="Heading 1" xfId="67"/>
    <cellStyle name="Heading 2" xfId="68"/>
    <cellStyle name="Heading 3" xfId="69"/>
    <cellStyle name="Heading 4" xfId="70"/>
    <cellStyle name="Heading1" xfId="71"/>
    <cellStyle name="Input" xfId="72"/>
    <cellStyle name="Input [yellow]" xfId="73"/>
    <cellStyle name="Link Currency (0)" xfId="74"/>
    <cellStyle name="Link Currency (2)" xfId="75"/>
    <cellStyle name="Link Units (0)" xfId="76"/>
    <cellStyle name="Link Units (1)" xfId="77"/>
    <cellStyle name="Link Units (2)" xfId="78"/>
    <cellStyle name="Linked Cell" xfId="79"/>
    <cellStyle name="Neutral" xfId="80"/>
    <cellStyle name="Normal - Style1" xfId="81"/>
    <cellStyle name="Normal_# 41-Market &amp;Trends" xfId="82"/>
    <cellStyle name="normбlnм_laroux" xfId="83"/>
    <cellStyle name="Note" xfId="84"/>
    <cellStyle name="Output" xfId="85"/>
    <cellStyle name="Percent [0]" xfId="86"/>
    <cellStyle name="Percent [00]" xfId="87"/>
    <cellStyle name="Percent [2]" xfId="88"/>
    <cellStyle name="Percent [2] 2" xfId="89"/>
    <cellStyle name="Percent_#6 Temps &amp; Contractors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Result" xfId="96"/>
    <cellStyle name="Result2" xfId="97"/>
    <cellStyle name="S3" xfId="98"/>
    <cellStyle name="S4" xfId="99"/>
    <cellStyle name="S5" xfId="100"/>
    <cellStyle name="S6" xfId="101"/>
    <cellStyle name="S7" xfId="102"/>
    <cellStyle name="Text Indent A" xfId="103"/>
    <cellStyle name="Text Indent B" xfId="104"/>
    <cellStyle name="Text Indent C" xfId="105"/>
    <cellStyle name="Title" xfId="106"/>
    <cellStyle name="Total" xfId="107"/>
    <cellStyle name="Warning Text" xfId="108"/>
    <cellStyle name="Акцент1 2" xfId="422"/>
    <cellStyle name="Акцент2 2" xfId="423"/>
    <cellStyle name="Акцент3 2" xfId="424"/>
    <cellStyle name="Акцент4 2" xfId="425"/>
    <cellStyle name="Акцент5 2" xfId="426"/>
    <cellStyle name="Акцент6 2" xfId="427"/>
    <cellStyle name="Ввод  2" xfId="428"/>
    <cellStyle name="Вывод 2" xfId="429"/>
    <cellStyle name="Вычисление 2" xfId="430"/>
    <cellStyle name="Денежный 2" xfId="431"/>
    <cellStyle name="Заголовок 1 2" xfId="432"/>
    <cellStyle name="Заголовок 2 2" xfId="433"/>
    <cellStyle name="Заголовок 3 2" xfId="434"/>
    <cellStyle name="Заголовок 4 2" xfId="435"/>
    <cellStyle name="Итог 2" xfId="436"/>
    <cellStyle name="Контрольная ячейка 2" xfId="437"/>
    <cellStyle name="Название 2" xfId="438"/>
    <cellStyle name="Нейтральный 2" xfId="439"/>
    <cellStyle name="Обычный" xfId="0" builtinId="0"/>
    <cellStyle name="Обычный 10" xfId="109"/>
    <cellStyle name="Обычный 11" xfId="110"/>
    <cellStyle name="Обычный 12" xfId="1"/>
    <cellStyle name="Обычный 12 2" xfId="111"/>
    <cellStyle name="Обычный 12 3" xfId="112"/>
    <cellStyle name="Обычный 13" xfId="113"/>
    <cellStyle name="Обычный 14" xfId="114"/>
    <cellStyle name="Обычный 14 2" xfId="115"/>
    <cellStyle name="Обычный 14 3" xfId="116"/>
    <cellStyle name="Обычный 14 4" xfId="117"/>
    <cellStyle name="Обычный 15" xfId="118"/>
    <cellStyle name="Обычный 16" xfId="440"/>
    <cellStyle name="Обычный 16 2" xfId="441"/>
    <cellStyle name="Обычный 17" xfId="119"/>
    <cellStyle name="Обычный 18 2" xfId="442"/>
    <cellStyle name="Обычный 19" xfId="443"/>
    <cellStyle name="Обычный 2" xfId="120"/>
    <cellStyle name="Обычный 2 10" xfId="121"/>
    <cellStyle name="Обычный 2 11" xfId="122"/>
    <cellStyle name="Обычный 2 11 2" xfId="123"/>
    <cellStyle name="Обычный 2 11 2 2" xfId="444"/>
    <cellStyle name="Обычный 2 12" xfId="124"/>
    <cellStyle name="Обычный 2 2" xfId="4"/>
    <cellStyle name="Обычный 2 2 10" xfId="125"/>
    <cellStyle name="Обычный 2 2 100" xfId="445"/>
    <cellStyle name="Обычный 2 2 101" xfId="446"/>
    <cellStyle name="Обычный 2 2 102" xfId="447"/>
    <cellStyle name="Обычный 2 2 11" xfId="126"/>
    <cellStyle name="Обычный 2 2 12" xfId="127"/>
    <cellStyle name="Обычный 2 2 13" xfId="128"/>
    <cellStyle name="Обычный 2 2 14" xfId="129"/>
    <cellStyle name="Обычный 2 2 15" xfId="130"/>
    <cellStyle name="Обычный 2 2 16" xfId="131"/>
    <cellStyle name="Обычный 2 2 17" xfId="132"/>
    <cellStyle name="Обычный 2 2 18" xfId="133"/>
    <cellStyle name="Обычный 2 2 19" xfId="134"/>
    <cellStyle name="Обычный 2 2 2" xfId="135"/>
    <cellStyle name="Обычный 2 2 2 2" xfId="448"/>
    <cellStyle name="Обычный 2 2 2 2 2" xfId="449"/>
    <cellStyle name="Обычный 2 2 20" xfId="136"/>
    <cellStyle name="Обычный 2 2 21" xfId="137"/>
    <cellStyle name="Обычный 2 2 22" xfId="138"/>
    <cellStyle name="Обычный 2 2 23" xfId="139"/>
    <cellStyle name="Обычный 2 2 24" xfId="140"/>
    <cellStyle name="Обычный 2 2 25" xfId="141"/>
    <cellStyle name="Обычный 2 2 26" xfId="142"/>
    <cellStyle name="Обычный 2 2 27" xfId="143"/>
    <cellStyle name="Обычный 2 2 28" xfId="144"/>
    <cellStyle name="Обычный 2 2 29" xfId="145"/>
    <cellStyle name="Обычный 2 2 3" xfId="146"/>
    <cellStyle name="Обычный 2 2 30" xfId="147"/>
    <cellStyle name="Обычный 2 2 31" xfId="148"/>
    <cellStyle name="Обычный 2 2 32" xfId="149"/>
    <cellStyle name="Обычный 2 2 33" xfId="150"/>
    <cellStyle name="Обычный 2 2 34" xfId="151"/>
    <cellStyle name="Обычный 2 2 35" xfId="152"/>
    <cellStyle name="Обычный 2 2 36" xfId="153"/>
    <cellStyle name="Обычный 2 2 37" xfId="154"/>
    <cellStyle name="Обычный 2 2 38" xfId="155"/>
    <cellStyle name="Обычный 2 2 39" xfId="156"/>
    <cellStyle name="Обычный 2 2 4" xfId="157"/>
    <cellStyle name="Обычный 2 2 40" xfId="158"/>
    <cellStyle name="Обычный 2 2 41" xfId="159"/>
    <cellStyle name="Обычный 2 2 42" xfId="160"/>
    <cellStyle name="Обычный 2 2 43" xfId="161"/>
    <cellStyle name="Обычный 2 2 44" xfId="162"/>
    <cellStyle name="Обычный 2 2 45" xfId="163"/>
    <cellStyle name="Обычный 2 2 46" xfId="164"/>
    <cellStyle name="Обычный 2 2 47" xfId="165"/>
    <cellStyle name="Обычный 2 2 48" xfId="166"/>
    <cellStyle name="Обычный 2 2 49" xfId="167"/>
    <cellStyle name="Обычный 2 2 5" xfId="168"/>
    <cellStyle name="Обычный 2 2 50" xfId="169"/>
    <cellStyle name="Обычный 2 2 51" xfId="170"/>
    <cellStyle name="Обычный 2 2 52" xfId="171"/>
    <cellStyle name="Обычный 2 2 53" xfId="172"/>
    <cellStyle name="Обычный 2 2 54" xfId="173"/>
    <cellStyle name="Обычный 2 2 55" xfId="174"/>
    <cellStyle name="Обычный 2 2 56" xfId="175"/>
    <cellStyle name="Обычный 2 2 57" xfId="176"/>
    <cellStyle name="Обычный 2 2 58" xfId="177"/>
    <cellStyle name="Обычный 2 2 59" xfId="178"/>
    <cellStyle name="Обычный 2 2 6" xfId="179"/>
    <cellStyle name="Обычный 2 2 60" xfId="180"/>
    <cellStyle name="Обычный 2 2 61" xfId="181"/>
    <cellStyle name="Обычный 2 2 62" xfId="182"/>
    <cellStyle name="Обычный 2 2 63" xfId="183"/>
    <cellStyle name="Обычный 2 2 64" xfId="184"/>
    <cellStyle name="Обычный 2 2 65" xfId="185"/>
    <cellStyle name="Обычный 2 2 66" xfId="186"/>
    <cellStyle name="Обычный 2 2 67" xfId="187"/>
    <cellStyle name="Обычный 2 2 68" xfId="188"/>
    <cellStyle name="Обычный 2 2 69" xfId="189"/>
    <cellStyle name="Обычный 2 2 7" xfId="190"/>
    <cellStyle name="Обычный 2 2 70" xfId="191"/>
    <cellStyle name="Обычный 2 2 71" xfId="192"/>
    <cellStyle name="Обычный 2 2 72" xfId="193"/>
    <cellStyle name="Обычный 2 2 73" xfId="194"/>
    <cellStyle name="Обычный 2 2 74" xfId="195"/>
    <cellStyle name="Обычный 2 2 75" xfId="196"/>
    <cellStyle name="Обычный 2 2 76" xfId="197"/>
    <cellStyle name="Обычный 2 2 77" xfId="198"/>
    <cellStyle name="Обычный 2 2 78" xfId="199"/>
    <cellStyle name="Обычный 2 2 79" xfId="200"/>
    <cellStyle name="Обычный 2 2 8" xfId="201"/>
    <cellStyle name="Обычный 2 2 80" xfId="202"/>
    <cellStyle name="Обычный 2 2 81" xfId="203"/>
    <cellStyle name="Обычный 2 2 82" xfId="204"/>
    <cellStyle name="Обычный 2 2 83" xfId="205"/>
    <cellStyle name="Обычный 2 2 84" xfId="206"/>
    <cellStyle name="Обычный 2 2 85" xfId="207"/>
    <cellStyle name="Обычный 2 2 86" xfId="208"/>
    <cellStyle name="Обычный 2 2 87" xfId="209"/>
    <cellStyle name="Обычный 2 2 88" xfId="210"/>
    <cellStyle name="Обычный 2 2 89" xfId="211"/>
    <cellStyle name="Обычный 2 2 9" xfId="212"/>
    <cellStyle name="Обычный 2 2 90" xfId="213"/>
    <cellStyle name="Обычный 2 2 91" xfId="214"/>
    <cellStyle name="Обычный 2 2 92" xfId="215"/>
    <cellStyle name="Обычный 2 2 93" xfId="216"/>
    <cellStyle name="Обычный 2 2 94" xfId="217"/>
    <cellStyle name="Обычный 2 2 95" xfId="218"/>
    <cellStyle name="Обычный 2 2 96" xfId="219"/>
    <cellStyle name="Обычный 2 2 97" xfId="220"/>
    <cellStyle name="Обычный 2 2 98" xfId="221"/>
    <cellStyle name="Обычный 2 2 99" xfId="2"/>
    <cellStyle name="Обычный 2 3" xfId="222"/>
    <cellStyle name="Обычный 2 3 2" xfId="223"/>
    <cellStyle name="Обычный 2 3 2 2" xfId="450"/>
    <cellStyle name="Обычный 2 3 3" xfId="224"/>
    <cellStyle name="Обычный 2 3 4" xfId="225"/>
    <cellStyle name="Обычный 2 3 4 2" xfId="226"/>
    <cellStyle name="Обычный 2 3 5" xfId="227"/>
    <cellStyle name="Обычный 2 3 6" xfId="228"/>
    <cellStyle name="Обычный 2 3 7" xfId="229"/>
    <cellStyle name="Обычный 2 3_Мониторинг по видам помощи(2016г.)(КСГ)-2" xfId="230"/>
    <cellStyle name="Обычный 2 4" xfId="231"/>
    <cellStyle name="Обычный 2 4 2" xfId="232"/>
    <cellStyle name="Обычный 2 5" xfId="233"/>
    <cellStyle name="Обычный 2 5 2" xfId="234"/>
    <cellStyle name="Обычный 2 6" xfId="235"/>
    <cellStyle name="Обычный 2 6 2" xfId="236"/>
    <cellStyle name="Обычный 2 6 3" xfId="237"/>
    <cellStyle name="Обычный 2 7" xfId="238"/>
    <cellStyle name="Обычный 2 8" xfId="239"/>
    <cellStyle name="Обычный 2 8 2" xfId="240"/>
    <cellStyle name="Обычный 2 9" xfId="241"/>
    <cellStyle name="Обычный 2_1 квартал" xfId="242"/>
    <cellStyle name="Обычный 3" xfId="243"/>
    <cellStyle name="Обычный 3 10" xfId="451"/>
    <cellStyle name="Обычный 3 11" xfId="452"/>
    <cellStyle name="Обычный 3 2" xfId="244"/>
    <cellStyle name="Обычный 3 2 2" xfId="453"/>
    <cellStyle name="Обычный 3 3" xfId="245"/>
    <cellStyle name="Обычный 3 3 2" xfId="454"/>
    <cellStyle name="Обычный 3 4" xfId="246"/>
    <cellStyle name="Обычный 3 4 2" xfId="247"/>
    <cellStyle name="Обычный 3 4 2 2" xfId="248"/>
    <cellStyle name="Обычный 3 4 2 3" xfId="249"/>
    <cellStyle name="Обычный 3 4 2_план 2018" xfId="250"/>
    <cellStyle name="Обычный 3 4 3" xfId="251"/>
    <cellStyle name="Обычный 3 4 3 2" xfId="252"/>
    <cellStyle name="Обычный 3 4 3 2 2" xfId="253"/>
    <cellStyle name="Обычный 3 4 3 2_план 2018" xfId="254"/>
    <cellStyle name="Обычный 3 4 3 3" xfId="255"/>
    <cellStyle name="Обычный 3 4 3 4" xfId="256"/>
    <cellStyle name="Обычный 3 4 3 5" xfId="257"/>
    <cellStyle name="Обычный 3 4 3 5 2" xfId="258"/>
    <cellStyle name="Обычный 3 4 3 5 3" xfId="455"/>
    <cellStyle name="Обычный 3 4 3 5 4" xfId="456"/>
    <cellStyle name="Обычный 3 4 3 5_план 2018" xfId="259"/>
    <cellStyle name="Обычный 3 4 3_АПП от ТФ оМС 15.01.2016 (гемодиализ)" xfId="260"/>
    <cellStyle name="Обычный 3 4 4" xfId="261"/>
    <cellStyle name="Обычный 3 4 5" xfId="262"/>
    <cellStyle name="Обычный 3 4 6" xfId="263"/>
    <cellStyle name="Обычный 3 4_АПП от ТФ оМС 15.01.2016 (гемодиализ)" xfId="264"/>
    <cellStyle name="Обычный 3 5" xfId="265"/>
    <cellStyle name="Обычный 3 6" xfId="266"/>
    <cellStyle name="Обычный 3 6 2" xfId="267"/>
    <cellStyle name="Обычный 3 6_АПП от ТФ оМС 15.01.2016 (гемодиализ)" xfId="268"/>
    <cellStyle name="Обычный 3 6_АПП от ТФ оМС 15.01.2016 (гемодиализ) 2" xfId="269"/>
    <cellStyle name="Обычный 3 7" xfId="270"/>
    <cellStyle name="Обычный 3 7 2" xfId="271"/>
    <cellStyle name="Обычный 3 8" xfId="272"/>
    <cellStyle name="Обычный 3 9" xfId="457"/>
    <cellStyle name="Обычный 3_1 квартал" xfId="273"/>
    <cellStyle name="Обычный 4" xfId="274"/>
    <cellStyle name="Обычный 4 2" xfId="275"/>
    <cellStyle name="Обычный 4 3" xfId="458"/>
    <cellStyle name="Обычный 4 3 2" xfId="459"/>
    <cellStyle name="Обычный 4 4" xfId="460"/>
    <cellStyle name="Обычный 4 5" xfId="461"/>
    <cellStyle name="Обычный 4 5 2" xfId="462"/>
    <cellStyle name="Обычный 4 6" xfId="463"/>
    <cellStyle name="Обычный 4 7" xfId="464"/>
    <cellStyle name="Обычный 4 8" xfId="465"/>
    <cellStyle name="Обычный 4_план 2018" xfId="276"/>
    <cellStyle name="Обычный 5" xfId="277"/>
    <cellStyle name="Обычный 5 10" xfId="278"/>
    <cellStyle name="Обычный 5 11" xfId="279"/>
    <cellStyle name="Обычный 5 12" xfId="280"/>
    <cellStyle name="Обычный 5 13" xfId="281"/>
    <cellStyle name="Обычный 5 14" xfId="282"/>
    <cellStyle name="Обычный 5 15" xfId="283"/>
    <cellStyle name="Обычный 5 16" xfId="284"/>
    <cellStyle name="Обычный 5 17" xfId="285"/>
    <cellStyle name="Обычный 5 18" xfId="286"/>
    <cellStyle name="Обычный 5 19" xfId="287"/>
    <cellStyle name="Обычный 5 2" xfId="288"/>
    <cellStyle name="Обычный 5 20" xfId="289"/>
    <cellStyle name="Обычный 5 21" xfId="290"/>
    <cellStyle name="Обычный 5 22" xfId="291"/>
    <cellStyle name="Обычный 5 23" xfId="292"/>
    <cellStyle name="Обычный 5 24" xfId="293"/>
    <cellStyle name="Обычный 5 25" xfId="294"/>
    <cellStyle name="Обычный 5 26" xfId="295"/>
    <cellStyle name="Обычный 5 27" xfId="296"/>
    <cellStyle name="Обычный 5 28" xfId="297"/>
    <cellStyle name="Обычный 5 29" xfId="298"/>
    <cellStyle name="Обычный 5 3" xfId="299"/>
    <cellStyle name="Обычный 5 30" xfId="300"/>
    <cellStyle name="Обычный 5 31" xfId="301"/>
    <cellStyle name="Обычный 5 32" xfId="302"/>
    <cellStyle name="Обычный 5 33" xfId="303"/>
    <cellStyle name="Обычный 5 34" xfId="304"/>
    <cellStyle name="Обычный 5 35" xfId="305"/>
    <cellStyle name="Обычный 5 36" xfId="306"/>
    <cellStyle name="Обычный 5 37" xfId="307"/>
    <cellStyle name="Обычный 5 38" xfId="308"/>
    <cellStyle name="Обычный 5 39" xfId="309"/>
    <cellStyle name="Обычный 5 4" xfId="310"/>
    <cellStyle name="Обычный 5 40" xfId="311"/>
    <cellStyle name="Обычный 5 41" xfId="312"/>
    <cellStyle name="Обычный 5 42" xfId="313"/>
    <cellStyle name="Обычный 5 43" xfId="314"/>
    <cellStyle name="Обычный 5 44" xfId="315"/>
    <cellStyle name="Обычный 5 45" xfId="316"/>
    <cellStyle name="Обычный 5 46" xfId="317"/>
    <cellStyle name="Обычный 5 47" xfId="318"/>
    <cellStyle name="Обычный 5 48" xfId="319"/>
    <cellStyle name="Обычный 5 49" xfId="320"/>
    <cellStyle name="Обычный 5 5" xfId="321"/>
    <cellStyle name="Обычный 5 50" xfId="322"/>
    <cellStyle name="Обычный 5 51" xfId="323"/>
    <cellStyle name="Обычный 5 52" xfId="324"/>
    <cellStyle name="Обычный 5 53" xfId="325"/>
    <cellStyle name="Обычный 5 54" xfId="326"/>
    <cellStyle name="Обычный 5 55" xfId="327"/>
    <cellStyle name="Обычный 5 56" xfId="328"/>
    <cellStyle name="Обычный 5 57" xfId="329"/>
    <cellStyle name="Обычный 5 58" xfId="330"/>
    <cellStyle name="Обычный 5 59" xfId="331"/>
    <cellStyle name="Обычный 5 6" xfId="332"/>
    <cellStyle name="Обычный 5 60" xfId="333"/>
    <cellStyle name="Обычный 5 61" xfId="334"/>
    <cellStyle name="Обычный 5 62" xfId="335"/>
    <cellStyle name="Обычный 5 63" xfId="336"/>
    <cellStyle name="Обычный 5 64" xfId="337"/>
    <cellStyle name="Обычный 5 65" xfId="338"/>
    <cellStyle name="Обычный 5 66" xfId="339"/>
    <cellStyle name="Обычный 5 67" xfId="340"/>
    <cellStyle name="Обычный 5 68" xfId="341"/>
    <cellStyle name="Обычный 5 69" xfId="342"/>
    <cellStyle name="Обычный 5 7" xfId="343"/>
    <cellStyle name="Обычный 5 70" xfId="344"/>
    <cellStyle name="Обычный 5 71" xfId="345"/>
    <cellStyle name="Обычный 5 72" xfId="346"/>
    <cellStyle name="Обычный 5 73" xfId="347"/>
    <cellStyle name="Обычный 5 74" xfId="348"/>
    <cellStyle name="Обычный 5 75" xfId="349"/>
    <cellStyle name="Обычный 5 76" xfId="350"/>
    <cellStyle name="Обычный 5 77" xfId="351"/>
    <cellStyle name="Обычный 5 78" xfId="352"/>
    <cellStyle name="Обычный 5 79" xfId="353"/>
    <cellStyle name="Обычный 5 8" xfId="354"/>
    <cellStyle name="Обычный 5 80" xfId="355"/>
    <cellStyle name="Обычный 5 81" xfId="356"/>
    <cellStyle name="Обычный 5 82" xfId="357"/>
    <cellStyle name="Обычный 5 83" xfId="358"/>
    <cellStyle name="Обычный 5 84" xfId="359"/>
    <cellStyle name="Обычный 5 85" xfId="360"/>
    <cellStyle name="Обычный 5 86" xfId="361"/>
    <cellStyle name="Обычный 5 87" xfId="362"/>
    <cellStyle name="Обычный 5 88" xfId="363"/>
    <cellStyle name="Обычный 5 89" xfId="364"/>
    <cellStyle name="Обычный 5 9" xfId="365"/>
    <cellStyle name="Обычный 5 90" xfId="366"/>
    <cellStyle name="Обычный 5 91" xfId="367"/>
    <cellStyle name="Обычный 5 92" xfId="368"/>
    <cellStyle name="Обычный 5 93" xfId="369"/>
    <cellStyle name="Обычный 5 94" xfId="370"/>
    <cellStyle name="Обычный 5 95" xfId="371"/>
    <cellStyle name="Обычный 5 96" xfId="372"/>
    <cellStyle name="Обычный 5 97" xfId="373"/>
    <cellStyle name="Обычный 5 98" xfId="374"/>
    <cellStyle name="Обычный 5_ОДБ" xfId="375"/>
    <cellStyle name="Обычный 6" xfId="376"/>
    <cellStyle name="Обычный 6 2" xfId="377"/>
    <cellStyle name="Обычный 6 3" xfId="466"/>
    <cellStyle name="Обычный 6 4" xfId="467"/>
    <cellStyle name="Обычный 6_отдел ЭАиТплан АПП 2015 вариант 2" xfId="378"/>
    <cellStyle name="Обычный 7" xfId="379"/>
    <cellStyle name="Обычный 7 2" xfId="380"/>
    <cellStyle name="Обычный 8" xfId="381"/>
    <cellStyle name="Обычный 9" xfId="382"/>
    <cellStyle name="Обычный 9 2" xfId="383"/>
    <cellStyle name="Обычный 9 3" xfId="3"/>
    <cellStyle name="Обычный_Поликлиника районы на сайт готовый" xfId="403"/>
    <cellStyle name="Плохой 2" xfId="468"/>
    <cellStyle name="Пояснение 2" xfId="469"/>
    <cellStyle name="Примечание 2" xfId="470"/>
    <cellStyle name="Процентный 2" xfId="384"/>
    <cellStyle name="Процентный 3" xfId="385"/>
    <cellStyle name="Процентный 4" xfId="386"/>
    <cellStyle name="Связанная ячейка 2" xfId="471"/>
    <cellStyle name="Стиль 1" xfId="387"/>
    <cellStyle name="Стиль 2" xfId="388"/>
    <cellStyle name="Стиль 7" xfId="389"/>
    <cellStyle name="Стиль 9" xfId="390"/>
    <cellStyle name="Текст предупреждения 2" xfId="472"/>
    <cellStyle name="Тысячи [0]_Диалог Накладная" xfId="391"/>
    <cellStyle name="Тысячи_Диалог Накладная" xfId="392"/>
    <cellStyle name="Финансовый 10" xfId="473"/>
    <cellStyle name="Финансовый 11" xfId="474"/>
    <cellStyle name="Финансовый 12" xfId="475"/>
    <cellStyle name="Финансовый 2" xfId="393"/>
    <cellStyle name="Финансовый 2 2" xfId="394"/>
    <cellStyle name="Финансовый 2_Стоматология Комиссия 25.07" xfId="395"/>
    <cellStyle name="Финансовый 3" xfId="396"/>
    <cellStyle name="Финансовый 3 2" xfId="476"/>
    <cellStyle name="Финансовый 4" xfId="397"/>
    <cellStyle name="Финансовый 5" xfId="398"/>
    <cellStyle name="Финансовый 6" xfId="399"/>
    <cellStyle name="Финансовый 6 2" xfId="400"/>
    <cellStyle name="Финансовый 7" xfId="401"/>
    <cellStyle name="Финансовый 8" xfId="402"/>
    <cellStyle name="Финансовый 9" xfId="477"/>
    <cellStyle name="Хороший 2" xfId="478"/>
  </cellStyles>
  <dxfs count="1540">
    <dxf>
      <fill>
        <patternFill>
          <bgColor rgb="FFF1DEDB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theme="4" tint="0.59996337778862885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F1DEDB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AFBD1"/>
        </patternFill>
      </fill>
    </dxf>
    <dxf>
      <fill>
        <patternFill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ont>
        <b/>
        <i val="0"/>
        <condense val="0"/>
        <extend val="0"/>
      </font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FAFBD1"/>
        </patternFill>
      </fill>
    </dxf>
    <dxf>
      <fill>
        <patternFill patternType="solid">
          <bgColor rgb="FFCAFDB1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DB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  <dxf>
      <fill>
        <patternFill>
          <bgColor rgb="FFF1DECC"/>
        </patternFill>
      </fill>
    </dxf>
    <dxf>
      <fill>
        <patternFill>
          <bgColor rgb="FFB8CCE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Normal="100" workbookViewId="0">
      <pane xSplit="3" ySplit="4" topLeftCell="D5" activePane="bottomRight" state="frozen"/>
      <selection activeCell="R5" sqref="R5"/>
      <selection pane="topRight" activeCell="R5" sqref="R5"/>
      <selection pane="bottomLeft" activeCell="R5" sqref="R5"/>
      <selection pane="bottomRight" activeCell="E52" sqref="E52"/>
    </sheetView>
  </sheetViews>
  <sheetFormatPr defaultRowHeight="16.5" customHeight="1" outlineLevelRow="2"/>
  <cols>
    <col min="1" max="1" width="0" style="91" hidden="1" customWidth="1"/>
    <col min="2" max="2" width="52" style="91" customWidth="1"/>
    <col min="3" max="3" width="61.140625" style="91" customWidth="1"/>
    <col min="4" max="4" width="15.5703125" style="94" customWidth="1"/>
    <col min="5" max="9" width="12" style="94" customWidth="1"/>
    <col min="10" max="16384" width="9.140625" style="91"/>
  </cols>
  <sheetData>
    <row r="1" spans="1:9" ht="16.5" customHeight="1">
      <c r="B1" s="93" t="s">
        <v>0</v>
      </c>
    </row>
    <row r="2" spans="1:9" ht="51.75" customHeight="1">
      <c r="B2" s="269" t="s">
        <v>215</v>
      </c>
      <c r="C2" s="269"/>
      <c r="D2" s="269"/>
      <c r="E2" s="269"/>
      <c r="F2" s="269"/>
      <c r="G2" s="269"/>
      <c r="H2" s="269"/>
    </row>
    <row r="3" spans="1:9" ht="16.5" customHeight="1">
      <c r="B3" s="268"/>
      <c r="C3" s="268"/>
      <c r="D3" s="268"/>
      <c r="E3" s="96"/>
      <c r="F3" s="95"/>
      <c r="G3" s="95"/>
      <c r="H3" s="95"/>
    </row>
    <row r="4" spans="1:9" ht="16.5" customHeight="1">
      <c r="B4" s="77" t="s">
        <v>2</v>
      </c>
      <c r="C4" s="78" t="s">
        <v>216</v>
      </c>
      <c r="D4" s="79" t="s">
        <v>217</v>
      </c>
      <c r="E4" s="2" t="s">
        <v>4</v>
      </c>
      <c r="F4" s="2" t="s">
        <v>5</v>
      </c>
      <c r="G4" s="2" t="s">
        <v>6</v>
      </c>
      <c r="H4" s="2" t="s">
        <v>7</v>
      </c>
    </row>
    <row r="5" spans="1:9" ht="16.5" hidden="1" customHeight="1" outlineLevel="2">
      <c r="B5" s="80" t="s">
        <v>133</v>
      </c>
      <c r="C5" s="81" t="s">
        <v>218</v>
      </c>
      <c r="D5" s="82">
        <v>7</v>
      </c>
      <c r="E5" s="86">
        <v>1</v>
      </c>
      <c r="F5" s="86">
        <v>0</v>
      </c>
      <c r="G5" s="86">
        <v>3</v>
      </c>
      <c r="H5" s="92">
        <v>3</v>
      </c>
    </row>
    <row r="6" spans="1:9" ht="16.5" hidden="1" customHeight="1" outlineLevel="2">
      <c r="B6" s="80" t="s">
        <v>133</v>
      </c>
      <c r="C6" s="81" t="s">
        <v>219</v>
      </c>
      <c r="D6" s="82">
        <v>12</v>
      </c>
      <c r="E6" s="86">
        <v>1</v>
      </c>
      <c r="F6" s="86">
        <v>0</v>
      </c>
      <c r="G6" s="86">
        <v>6</v>
      </c>
      <c r="H6" s="92">
        <v>5</v>
      </c>
    </row>
    <row r="7" spans="1:9" ht="16.5" hidden="1" customHeight="1" outlineLevel="2">
      <c r="B7" s="80" t="s">
        <v>133</v>
      </c>
      <c r="C7" s="81" t="s">
        <v>220</v>
      </c>
      <c r="D7" s="82">
        <v>198</v>
      </c>
      <c r="E7" s="86">
        <v>10</v>
      </c>
      <c r="F7" s="86">
        <v>19</v>
      </c>
      <c r="G7" s="86">
        <v>80</v>
      </c>
      <c r="H7" s="92">
        <v>89</v>
      </c>
    </row>
    <row r="8" spans="1:9" ht="16.5" hidden="1" customHeight="1" outlineLevel="2">
      <c r="B8" s="80" t="s">
        <v>133</v>
      </c>
      <c r="C8" s="81" t="s">
        <v>221</v>
      </c>
      <c r="D8" s="82">
        <v>318</v>
      </c>
      <c r="E8" s="86">
        <v>23</v>
      </c>
      <c r="F8" s="86">
        <v>17</v>
      </c>
      <c r="G8" s="86">
        <v>140</v>
      </c>
      <c r="H8" s="92">
        <v>138</v>
      </c>
    </row>
    <row r="9" spans="1:9" ht="16.5" hidden="1" customHeight="1" outlineLevel="2">
      <c r="B9" s="80" t="s">
        <v>133</v>
      </c>
      <c r="C9" s="81" t="s">
        <v>222</v>
      </c>
      <c r="D9" s="82">
        <v>722</v>
      </c>
      <c r="E9" s="86">
        <v>58</v>
      </c>
      <c r="F9" s="86">
        <v>128</v>
      </c>
      <c r="G9" s="86">
        <v>279</v>
      </c>
      <c r="H9" s="92">
        <v>257</v>
      </c>
    </row>
    <row r="10" spans="1:9" ht="16.5" hidden="1" customHeight="1" outlineLevel="2">
      <c r="B10" s="80" t="s">
        <v>133</v>
      </c>
      <c r="C10" s="81" t="s">
        <v>223</v>
      </c>
      <c r="D10" s="82">
        <v>0</v>
      </c>
      <c r="E10" s="86"/>
      <c r="F10" s="86"/>
      <c r="G10" s="86"/>
      <c r="H10" s="86"/>
    </row>
    <row r="11" spans="1:9" ht="16.5" hidden="1" customHeight="1" outlineLevel="2">
      <c r="B11" s="80" t="s">
        <v>133</v>
      </c>
      <c r="C11" s="81" t="s">
        <v>224</v>
      </c>
      <c r="D11" s="82">
        <v>0</v>
      </c>
      <c r="E11" s="86"/>
      <c r="F11" s="86"/>
      <c r="G11" s="86"/>
      <c r="H11" s="86"/>
    </row>
    <row r="12" spans="1:9" s="97" customFormat="1" ht="16.5" customHeight="1" outlineLevel="1" collapsed="1">
      <c r="A12" s="97">
        <v>1</v>
      </c>
      <c r="B12" s="98" t="s">
        <v>134</v>
      </c>
      <c r="C12" s="99"/>
      <c r="D12" s="100">
        <v>1257</v>
      </c>
      <c r="E12" s="101">
        <v>93</v>
      </c>
      <c r="F12" s="101">
        <v>164</v>
      </c>
      <c r="G12" s="101">
        <v>508</v>
      </c>
      <c r="H12" s="101">
        <v>492</v>
      </c>
      <c r="I12" s="102"/>
    </row>
    <row r="13" spans="1:9" ht="16.5" hidden="1" customHeight="1" outlineLevel="2">
      <c r="B13" s="83" t="s">
        <v>141</v>
      </c>
      <c r="C13" s="84" t="s">
        <v>218</v>
      </c>
      <c r="D13" s="85">
        <v>1</v>
      </c>
      <c r="E13" s="86">
        <v>1</v>
      </c>
      <c r="F13" s="86"/>
      <c r="G13" s="86"/>
      <c r="H13" s="86"/>
    </row>
    <row r="14" spans="1:9" ht="16.5" hidden="1" customHeight="1" outlineLevel="2">
      <c r="B14" s="83" t="s">
        <v>141</v>
      </c>
      <c r="C14" s="84" t="s">
        <v>219</v>
      </c>
      <c r="D14" s="85"/>
      <c r="E14" s="86"/>
      <c r="F14" s="86"/>
      <c r="G14" s="86"/>
      <c r="H14" s="86"/>
    </row>
    <row r="15" spans="1:9" ht="16.5" hidden="1" customHeight="1" outlineLevel="2">
      <c r="B15" s="83" t="s">
        <v>141</v>
      </c>
      <c r="C15" s="84" t="s">
        <v>220</v>
      </c>
      <c r="D15" s="85">
        <v>60</v>
      </c>
      <c r="E15" s="86">
        <v>13</v>
      </c>
      <c r="F15" s="86">
        <v>11</v>
      </c>
      <c r="G15" s="86">
        <v>20</v>
      </c>
      <c r="H15" s="86">
        <v>16</v>
      </c>
    </row>
    <row r="16" spans="1:9" ht="16.5" hidden="1" customHeight="1" outlineLevel="2">
      <c r="B16" s="83" t="s">
        <v>141</v>
      </c>
      <c r="C16" s="84" t="s">
        <v>221</v>
      </c>
      <c r="D16" s="85">
        <v>60</v>
      </c>
      <c r="E16" s="86">
        <v>12</v>
      </c>
      <c r="F16" s="86">
        <v>14</v>
      </c>
      <c r="G16" s="86">
        <v>15</v>
      </c>
      <c r="H16" s="86">
        <v>19</v>
      </c>
    </row>
    <row r="17" spans="1:9" ht="16.5" hidden="1" customHeight="1" outlineLevel="2">
      <c r="B17" s="83" t="s">
        <v>141</v>
      </c>
      <c r="C17" s="84" t="s">
        <v>222</v>
      </c>
      <c r="D17" s="85">
        <v>55</v>
      </c>
      <c r="E17" s="86">
        <v>4</v>
      </c>
      <c r="F17" s="86">
        <v>12</v>
      </c>
      <c r="G17" s="86">
        <v>20</v>
      </c>
      <c r="H17" s="86">
        <v>19</v>
      </c>
    </row>
    <row r="18" spans="1:9" ht="16.5" hidden="1" customHeight="1" outlineLevel="2">
      <c r="B18" s="83" t="s">
        <v>141</v>
      </c>
      <c r="C18" s="84" t="s">
        <v>223</v>
      </c>
      <c r="D18" s="85">
        <v>1</v>
      </c>
      <c r="E18" s="86">
        <v>0</v>
      </c>
      <c r="F18" s="86">
        <v>0</v>
      </c>
      <c r="G18" s="86">
        <v>1</v>
      </c>
      <c r="H18" s="86"/>
    </row>
    <row r="19" spans="1:9" ht="16.5" hidden="1" customHeight="1" outlineLevel="2">
      <c r="B19" s="83" t="s">
        <v>141</v>
      </c>
      <c r="C19" s="84" t="s">
        <v>224</v>
      </c>
      <c r="D19" s="85"/>
      <c r="E19" s="86"/>
      <c r="F19" s="86"/>
      <c r="G19" s="86"/>
      <c r="H19" s="86"/>
    </row>
    <row r="20" spans="1:9" s="97" customFormat="1" ht="16.5" customHeight="1" outlineLevel="1" collapsed="1">
      <c r="A20" s="97">
        <v>1</v>
      </c>
      <c r="B20" s="90" t="s">
        <v>142</v>
      </c>
      <c r="C20" s="99"/>
      <c r="D20" s="101">
        <v>177</v>
      </c>
      <c r="E20" s="101">
        <v>30</v>
      </c>
      <c r="F20" s="101">
        <v>37</v>
      </c>
      <c r="G20" s="101">
        <v>56</v>
      </c>
      <c r="H20" s="101">
        <v>54</v>
      </c>
      <c r="I20" s="102"/>
    </row>
    <row r="21" spans="1:9" ht="16.5" hidden="1" customHeight="1" outlineLevel="2">
      <c r="B21" s="83" t="s">
        <v>194</v>
      </c>
      <c r="C21" s="84" t="s">
        <v>218</v>
      </c>
      <c r="D21" s="85">
        <v>30</v>
      </c>
      <c r="E21" s="86">
        <v>9</v>
      </c>
      <c r="F21" s="86">
        <v>1</v>
      </c>
      <c r="G21" s="86">
        <v>10</v>
      </c>
      <c r="H21" s="92">
        <v>10</v>
      </c>
    </row>
    <row r="22" spans="1:9" ht="16.5" hidden="1" customHeight="1" outlineLevel="2">
      <c r="B22" s="83" t="s">
        <v>194</v>
      </c>
      <c r="C22" s="84" t="s">
        <v>219</v>
      </c>
      <c r="D22" s="85">
        <v>128</v>
      </c>
      <c r="E22" s="86">
        <v>3</v>
      </c>
      <c r="F22" s="86">
        <v>5</v>
      </c>
      <c r="G22" s="86">
        <v>52</v>
      </c>
      <c r="H22" s="92">
        <v>68</v>
      </c>
    </row>
    <row r="23" spans="1:9" ht="16.5" hidden="1" customHeight="1" outlineLevel="2">
      <c r="B23" s="83" t="s">
        <v>194</v>
      </c>
      <c r="C23" s="84" t="s">
        <v>220</v>
      </c>
      <c r="D23" s="85">
        <v>306</v>
      </c>
      <c r="E23" s="86">
        <v>33</v>
      </c>
      <c r="F23" s="86">
        <v>39</v>
      </c>
      <c r="G23" s="86">
        <v>58</v>
      </c>
      <c r="H23" s="92">
        <v>176</v>
      </c>
    </row>
    <row r="24" spans="1:9" ht="16.5" hidden="1" customHeight="1" outlineLevel="2">
      <c r="B24" s="83" t="s">
        <v>194</v>
      </c>
      <c r="C24" s="84" t="s">
        <v>221</v>
      </c>
      <c r="D24" s="85">
        <v>719</v>
      </c>
      <c r="E24" s="86">
        <v>161</v>
      </c>
      <c r="F24" s="86">
        <v>180</v>
      </c>
      <c r="G24" s="86">
        <v>186</v>
      </c>
      <c r="H24" s="92">
        <v>192</v>
      </c>
    </row>
    <row r="25" spans="1:9" ht="16.5" hidden="1" customHeight="1" outlineLevel="2">
      <c r="B25" s="83" t="s">
        <v>194</v>
      </c>
      <c r="C25" s="84" t="s">
        <v>222</v>
      </c>
      <c r="D25" s="85">
        <v>199</v>
      </c>
      <c r="E25" s="86">
        <v>22</v>
      </c>
      <c r="F25" s="86">
        <v>51</v>
      </c>
      <c r="G25" s="86">
        <v>64</v>
      </c>
      <c r="H25" s="92">
        <v>62</v>
      </c>
    </row>
    <row r="26" spans="1:9" ht="16.5" hidden="1" customHeight="1" outlineLevel="2">
      <c r="B26" s="83" t="s">
        <v>194</v>
      </c>
      <c r="C26" s="84" t="s">
        <v>223</v>
      </c>
      <c r="D26" s="85"/>
      <c r="E26" s="85"/>
      <c r="F26" s="86"/>
      <c r="G26" s="86"/>
      <c r="H26" s="86"/>
    </row>
    <row r="27" spans="1:9" ht="16.5" hidden="1" customHeight="1" outlineLevel="2">
      <c r="B27" s="83" t="s">
        <v>194</v>
      </c>
      <c r="C27" s="84" t="s">
        <v>224</v>
      </c>
      <c r="D27" s="85"/>
      <c r="E27" s="85"/>
      <c r="F27" s="86"/>
      <c r="G27" s="86"/>
      <c r="H27" s="86"/>
    </row>
    <row r="28" spans="1:9" s="97" customFormat="1" ht="16.5" customHeight="1" outlineLevel="1" collapsed="1">
      <c r="A28" s="97">
        <v>1</v>
      </c>
      <c r="B28" s="90" t="s">
        <v>225</v>
      </c>
      <c r="C28" s="99"/>
      <c r="D28" s="101">
        <v>1382</v>
      </c>
      <c r="E28" s="101">
        <v>228</v>
      </c>
      <c r="F28" s="101">
        <v>276</v>
      </c>
      <c r="G28" s="101">
        <v>370</v>
      </c>
      <c r="H28" s="101">
        <v>508</v>
      </c>
      <c r="I28" s="102"/>
    </row>
    <row r="29" spans="1:9" ht="16.5" hidden="1" customHeight="1" outlineLevel="2">
      <c r="B29" s="83" t="s">
        <v>108</v>
      </c>
      <c r="C29" s="84" t="s">
        <v>218</v>
      </c>
      <c r="D29" s="85">
        <v>408</v>
      </c>
      <c r="E29" s="86">
        <v>99</v>
      </c>
      <c r="F29" s="86">
        <v>89</v>
      </c>
      <c r="G29" s="86">
        <v>110</v>
      </c>
      <c r="H29" s="92">
        <v>110</v>
      </c>
    </row>
    <row r="30" spans="1:9" ht="16.5" hidden="1" customHeight="1" outlineLevel="2">
      <c r="B30" s="83" t="s">
        <v>108</v>
      </c>
      <c r="C30" s="84" t="s">
        <v>219</v>
      </c>
      <c r="D30" s="85">
        <v>390</v>
      </c>
      <c r="E30" s="86">
        <v>94</v>
      </c>
      <c r="F30" s="86">
        <v>78</v>
      </c>
      <c r="G30" s="86">
        <v>104</v>
      </c>
      <c r="H30" s="92">
        <v>114</v>
      </c>
    </row>
    <row r="31" spans="1:9" ht="16.5" hidden="1" customHeight="1" outlineLevel="2">
      <c r="B31" s="83" t="s">
        <v>108</v>
      </c>
      <c r="C31" s="84" t="s">
        <v>220</v>
      </c>
      <c r="D31" s="85">
        <v>1664</v>
      </c>
      <c r="E31" s="86">
        <v>379</v>
      </c>
      <c r="F31" s="86">
        <v>353</v>
      </c>
      <c r="G31" s="86">
        <v>493</v>
      </c>
      <c r="H31" s="86">
        <v>439</v>
      </c>
    </row>
    <row r="32" spans="1:9" ht="16.5" hidden="1" customHeight="1" outlineLevel="2">
      <c r="B32" s="83" t="s">
        <v>108</v>
      </c>
      <c r="C32" s="84" t="s">
        <v>221</v>
      </c>
      <c r="D32" s="85">
        <v>2286</v>
      </c>
      <c r="E32" s="86">
        <v>528</v>
      </c>
      <c r="F32" s="86">
        <v>478</v>
      </c>
      <c r="G32" s="86">
        <v>609</v>
      </c>
      <c r="H32" s="92">
        <v>671</v>
      </c>
    </row>
    <row r="33" spans="1:9" ht="16.5" hidden="1" customHeight="1" outlineLevel="2">
      <c r="B33" s="83" t="s">
        <v>108</v>
      </c>
      <c r="C33" s="84" t="s">
        <v>222</v>
      </c>
      <c r="D33" s="85">
        <v>728</v>
      </c>
      <c r="E33" s="86">
        <v>77</v>
      </c>
      <c r="F33" s="86">
        <v>84</v>
      </c>
      <c r="G33" s="86">
        <v>262</v>
      </c>
      <c r="H33" s="92">
        <v>305</v>
      </c>
    </row>
    <row r="34" spans="1:9" ht="16.5" hidden="1" customHeight="1" outlineLevel="2">
      <c r="B34" s="83" t="s">
        <v>108</v>
      </c>
      <c r="C34" s="84" t="s">
        <v>223</v>
      </c>
      <c r="D34" s="85">
        <v>6</v>
      </c>
      <c r="E34" s="86">
        <v>2</v>
      </c>
      <c r="F34" s="86">
        <v>0</v>
      </c>
      <c r="G34" s="86">
        <v>2</v>
      </c>
      <c r="H34" s="86">
        <v>2</v>
      </c>
    </row>
    <row r="35" spans="1:9" ht="16.5" hidden="1" customHeight="1" outlineLevel="2">
      <c r="B35" s="83" t="s">
        <v>108</v>
      </c>
      <c r="C35" s="84" t="s">
        <v>224</v>
      </c>
      <c r="D35" s="85">
        <v>32</v>
      </c>
      <c r="E35" s="86"/>
      <c r="F35" s="86">
        <v>0</v>
      </c>
      <c r="G35" s="86">
        <v>16</v>
      </c>
      <c r="H35" s="86">
        <v>16</v>
      </c>
    </row>
    <row r="36" spans="1:9" s="97" customFormat="1" ht="16.5" customHeight="1" outlineLevel="1" collapsed="1">
      <c r="A36" s="97">
        <v>1</v>
      </c>
      <c r="B36" s="90" t="s">
        <v>109</v>
      </c>
      <c r="C36" s="99"/>
      <c r="D36" s="101">
        <v>5514</v>
      </c>
      <c r="E36" s="101">
        <v>1179</v>
      </c>
      <c r="F36" s="101">
        <v>1082</v>
      </c>
      <c r="G36" s="101">
        <v>1596</v>
      </c>
      <c r="H36" s="101">
        <v>1657</v>
      </c>
      <c r="I36" s="102"/>
    </row>
    <row r="37" spans="1:9" ht="16.5" hidden="1" customHeight="1" outlineLevel="2">
      <c r="B37" s="83" t="s">
        <v>175</v>
      </c>
      <c r="C37" s="84" t="s">
        <v>218</v>
      </c>
      <c r="D37" s="85">
        <v>2</v>
      </c>
      <c r="E37" s="86">
        <v>1</v>
      </c>
      <c r="F37" s="86">
        <v>0</v>
      </c>
      <c r="G37" s="86">
        <v>1</v>
      </c>
      <c r="H37" s="92">
        <v>0</v>
      </c>
    </row>
    <row r="38" spans="1:9" ht="16.5" hidden="1" customHeight="1" outlineLevel="2">
      <c r="B38" s="83" t="s">
        <v>175</v>
      </c>
      <c r="C38" s="84" t="s">
        <v>219</v>
      </c>
      <c r="D38" s="85">
        <v>16</v>
      </c>
      <c r="E38" s="86">
        <v>4</v>
      </c>
      <c r="F38" s="86">
        <v>4</v>
      </c>
      <c r="G38" s="86">
        <v>4</v>
      </c>
      <c r="H38" s="92">
        <v>4</v>
      </c>
    </row>
    <row r="39" spans="1:9" ht="16.5" hidden="1" customHeight="1" outlineLevel="2">
      <c r="B39" s="83" t="s">
        <v>175</v>
      </c>
      <c r="C39" s="84" t="s">
        <v>220</v>
      </c>
      <c r="D39" s="85">
        <v>601</v>
      </c>
      <c r="E39" s="86">
        <v>111</v>
      </c>
      <c r="F39" s="86">
        <v>188</v>
      </c>
      <c r="G39" s="86">
        <v>191</v>
      </c>
      <c r="H39" s="92">
        <v>111</v>
      </c>
    </row>
    <row r="40" spans="1:9" ht="16.5" hidden="1" customHeight="1" outlineLevel="2">
      <c r="B40" s="83" t="s">
        <v>175</v>
      </c>
      <c r="C40" s="84" t="s">
        <v>221</v>
      </c>
      <c r="D40" s="85">
        <v>1276</v>
      </c>
      <c r="E40" s="86">
        <v>271</v>
      </c>
      <c r="F40" s="86">
        <v>367</v>
      </c>
      <c r="G40" s="86">
        <v>370</v>
      </c>
      <c r="H40" s="92">
        <v>268</v>
      </c>
    </row>
    <row r="41" spans="1:9" ht="16.5" hidden="1" customHeight="1" outlineLevel="2">
      <c r="B41" s="83" t="s">
        <v>175</v>
      </c>
      <c r="C41" s="84" t="s">
        <v>222</v>
      </c>
      <c r="D41" s="85">
        <v>5</v>
      </c>
      <c r="E41" s="86">
        <v>2</v>
      </c>
      <c r="F41" s="86">
        <v>0</v>
      </c>
      <c r="G41" s="86">
        <v>2</v>
      </c>
      <c r="H41" s="92">
        <v>1</v>
      </c>
    </row>
    <row r="42" spans="1:9" ht="16.5" hidden="1" customHeight="1" outlineLevel="2">
      <c r="B42" s="83" t="s">
        <v>175</v>
      </c>
      <c r="C42" s="84" t="s">
        <v>223</v>
      </c>
      <c r="D42" s="85">
        <v>0</v>
      </c>
      <c r="E42" s="86"/>
      <c r="F42" s="86">
        <v>0</v>
      </c>
      <c r="G42" s="86">
        <v>0</v>
      </c>
      <c r="H42" s="92">
        <v>0</v>
      </c>
    </row>
    <row r="43" spans="1:9" ht="16.5" hidden="1" customHeight="1" outlineLevel="2">
      <c r="B43" s="83" t="s">
        <v>175</v>
      </c>
      <c r="C43" s="84" t="s">
        <v>224</v>
      </c>
      <c r="D43" s="85">
        <v>0</v>
      </c>
      <c r="E43" s="86"/>
      <c r="F43" s="86">
        <v>0</v>
      </c>
      <c r="G43" s="86">
        <v>0</v>
      </c>
      <c r="H43" s="92">
        <v>0</v>
      </c>
    </row>
    <row r="44" spans="1:9" s="97" customFormat="1" ht="16.5" customHeight="1" outlineLevel="1" collapsed="1">
      <c r="A44" s="97">
        <v>1</v>
      </c>
      <c r="B44" s="90" t="s">
        <v>176</v>
      </c>
      <c r="C44" s="99"/>
      <c r="D44" s="101">
        <v>1900</v>
      </c>
      <c r="E44" s="101">
        <v>389</v>
      </c>
      <c r="F44" s="101">
        <v>559</v>
      </c>
      <c r="G44" s="101">
        <v>568</v>
      </c>
      <c r="H44" s="101">
        <v>384</v>
      </c>
      <c r="I44" s="102"/>
    </row>
    <row r="45" spans="1:9" ht="16.5" hidden="1" customHeight="1" outlineLevel="2">
      <c r="B45" s="83" t="s">
        <v>181</v>
      </c>
      <c r="C45" s="84" t="s">
        <v>218</v>
      </c>
      <c r="D45" s="85"/>
      <c r="E45" s="86"/>
      <c r="F45" s="86"/>
      <c r="G45" s="86"/>
      <c r="H45" s="86"/>
    </row>
    <row r="46" spans="1:9" ht="16.5" hidden="1" customHeight="1" outlineLevel="2">
      <c r="B46" s="83" t="s">
        <v>181</v>
      </c>
      <c r="C46" s="84" t="s">
        <v>219</v>
      </c>
      <c r="D46" s="85"/>
      <c r="E46" s="86"/>
      <c r="F46" s="86"/>
      <c r="G46" s="86"/>
      <c r="H46" s="86"/>
    </row>
    <row r="47" spans="1:9" ht="16.5" hidden="1" customHeight="1" outlineLevel="2">
      <c r="B47" s="83" t="s">
        <v>181</v>
      </c>
      <c r="C47" s="84" t="s">
        <v>220</v>
      </c>
      <c r="D47" s="85"/>
      <c r="E47" s="86"/>
      <c r="F47" s="86"/>
      <c r="G47" s="86"/>
      <c r="H47" s="86"/>
    </row>
    <row r="48" spans="1:9" ht="16.5" hidden="1" customHeight="1" outlineLevel="2">
      <c r="B48" s="83" t="s">
        <v>181</v>
      </c>
      <c r="C48" s="84" t="s">
        <v>221</v>
      </c>
      <c r="D48" s="85">
        <v>95</v>
      </c>
      <c r="E48" s="86">
        <v>13</v>
      </c>
      <c r="F48" s="86">
        <v>17</v>
      </c>
      <c r="G48" s="86">
        <v>30</v>
      </c>
      <c r="H48" s="92">
        <v>35</v>
      </c>
    </row>
    <row r="49" spans="1:9" ht="16.5" hidden="1" customHeight="1" outlineLevel="2">
      <c r="B49" s="83" t="s">
        <v>181</v>
      </c>
      <c r="C49" s="84" t="s">
        <v>222</v>
      </c>
      <c r="D49" s="85">
        <v>10</v>
      </c>
      <c r="E49" s="86"/>
      <c r="F49" s="86">
        <v>3</v>
      </c>
      <c r="G49" s="86">
        <v>5</v>
      </c>
      <c r="H49" s="92">
        <v>2</v>
      </c>
    </row>
    <row r="50" spans="1:9" ht="16.5" hidden="1" customHeight="1" outlineLevel="2">
      <c r="B50" s="83" t="s">
        <v>181</v>
      </c>
      <c r="C50" s="84" t="s">
        <v>223</v>
      </c>
      <c r="D50" s="85">
        <v>73</v>
      </c>
      <c r="E50" s="86">
        <v>13</v>
      </c>
      <c r="F50" s="86">
        <v>11</v>
      </c>
      <c r="G50" s="86">
        <v>23</v>
      </c>
      <c r="H50" s="92">
        <v>26</v>
      </c>
    </row>
    <row r="51" spans="1:9" ht="16.5" hidden="1" customHeight="1" outlineLevel="2">
      <c r="B51" s="87" t="s">
        <v>181</v>
      </c>
      <c r="C51" s="88" t="s">
        <v>224</v>
      </c>
      <c r="D51" s="89">
        <v>2</v>
      </c>
      <c r="E51" s="86"/>
      <c r="F51" s="103"/>
      <c r="G51" s="103">
        <v>1</v>
      </c>
      <c r="H51" s="103">
        <v>1</v>
      </c>
    </row>
    <row r="52" spans="1:9" s="97" customFormat="1" ht="16.5" customHeight="1" outlineLevel="1" collapsed="1">
      <c r="A52" s="97">
        <v>1</v>
      </c>
      <c r="B52" s="90" t="s">
        <v>182</v>
      </c>
      <c r="C52" s="104"/>
      <c r="D52" s="101">
        <v>180</v>
      </c>
      <c r="E52" s="101">
        <v>26</v>
      </c>
      <c r="F52" s="101">
        <v>31</v>
      </c>
      <c r="G52" s="101">
        <v>59</v>
      </c>
      <c r="H52" s="101">
        <v>64</v>
      </c>
      <c r="I52" s="102"/>
    </row>
    <row r="53" spans="1:9" ht="16.5" customHeight="1">
      <c r="B53" s="90" t="s">
        <v>117</v>
      </c>
      <c r="C53" s="81"/>
      <c r="D53" s="101">
        <v>10410</v>
      </c>
      <c r="E53" s="101">
        <v>1945</v>
      </c>
      <c r="F53" s="101">
        <v>2149</v>
      </c>
      <c r="G53" s="101">
        <v>3157</v>
      </c>
      <c r="H53" s="101">
        <v>3159</v>
      </c>
    </row>
    <row r="58" spans="1:9" ht="16.5" customHeight="1">
      <c r="B58" s="105" t="s">
        <v>226</v>
      </c>
      <c r="D58" s="106">
        <v>119</v>
      </c>
    </row>
    <row r="59" spans="1:9" ht="16.5" customHeight="1">
      <c r="B59" s="107" t="s">
        <v>184</v>
      </c>
      <c r="D59" s="106">
        <v>10529</v>
      </c>
    </row>
    <row r="60" spans="1:9" ht="16.5" customHeight="1">
      <c r="B60" s="108"/>
      <c r="D60" s="106"/>
    </row>
    <row r="61" spans="1:9" ht="16.5" customHeight="1" thickBot="1">
      <c r="B61" s="108"/>
      <c r="D61" s="106"/>
    </row>
    <row r="62" spans="1:9" ht="16.5" customHeight="1" thickBot="1">
      <c r="B62" s="109" t="s">
        <v>185</v>
      </c>
      <c r="D62" s="110">
        <v>15719</v>
      </c>
    </row>
    <row r="63" spans="1:9" ht="16.5" customHeight="1">
      <c r="D63" s="106"/>
    </row>
    <row r="64" spans="1:9" ht="16.5" customHeight="1">
      <c r="D64" s="111">
        <v>5190</v>
      </c>
    </row>
  </sheetData>
  <autoFilter ref="A4:H54"/>
  <mergeCells count="2">
    <mergeCell ref="B3:D3"/>
    <mergeCell ref="B2:H2"/>
  </mergeCells>
  <conditionalFormatting sqref="G3:H1048576 E36:F1048576 C3:D1048576 A1:B1048576 I1:XFD1048576 C1:H1 E3:F28">
    <cfRule type="expression" dxfId="820" priority="28">
      <formula>$A1=1</formula>
    </cfRule>
  </conditionalFormatting>
  <conditionalFormatting sqref="E29:E35">
    <cfRule type="expression" dxfId="819" priority="23">
      <formula>$A29=1</formula>
    </cfRule>
  </conditionalFormatting>
  <conditionalFormatting sqref="D29:D34">
    <cfRule type="expression" dxfId="818" priority="21">
      <formula>$A29=1</formula>
    </cfRule>
  </conditionalFormatting>
  <conditionalFormatting sqref="B1">
    <cfRule type="expression" dxfId="817" priority="1">
      <formula>$A1=1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zoomScaleNormal="100" zoomScaleSheetLayoutView="7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25" sqref="B25"/>
    </sheetView>
  </sheetViews>
  <sheetFormatPr defaultRowHeight="15"/>
  <cols>
    <col min="1" max="1" width="9.140625" style="67" hidden="1" customWidth="1"/>
    <col min="2" max="2" width="58.42578125" style="67" customWidth="1"/>
    <col min="3" max="3" width="17.5703125" style="67" customWidth="1"/>
    <col min="4" max="7" width="9.140625" style="70" customWidth="1"/>
    <col min="8" max="16384" width="9.140625" style="67"/>
  </cols>
  <sheetData>
    <row r="1" spans="1:7" s="25" customFormat="1" ht="36.75" customHeight="1">
      <c r="A1" s="26"/>
      <c r="B1" s="29" t="s">
        <v>0</v>
      </c>
      <c r="C1" s="28"/>
      <c r="D1" s="30"/>
      <c r="E1" s="31"/>
      <c r="F1" s="32"/>
      <c r="G1" s="33"/>
    </row>
    <row r="2" spans="1:7" s="25" customFormat="1" ht="87.75" customHeight="1">
      <c r="A2" s="26"/>
      <c r="B2" s="270" t="s">
        <v>187</v>
      </c>
      <c r="C2" s="270"/>
      <c r="D2" s="27"/>
      <c r="E2" s="27"/>
      <c r="F2" s="27"/>
      <c r="G2" s="27"/>
    </row>
    <row r="3" spans="1:7" s="25" customFormat="1" ht="61.5" customHeight="1">
      <c r="A3" s="26"/>
      <c r="B3" s="34" t="s">
        <v>186</v>
      </c>
      <c r="C3" s="35" t="s">
        <v>188</v>
      </c>
      <c r="D3" s="35" t="s">
        <v>4</v>
      </c>
      <c r="E3" s="35" t="s">
        <v>5</v>
      </c>
      <c r="F3" s="35" t="s">
        <v>6</v>
      </c>
      <c r="G3" s="35" t="s">
        <v>7</v>
      </c>
    </row>
    <row r="4" spans="1:7" s="25" customFormat="1" ht="31.5" customHeight="1">
      <c r="A4" s="26"/>
      <c r="B4" s="36"/>
      <c r="C4" s="37" t="s">
        <v>189</v>
      </c>
      <c r="D4" s="38" t="s">
        <v>189</v>
      </c>
      <c r="E4" s="38" t="s">
        <v>189</v>
      </c>
      <c r="F4" s="38" t="s">
        <v>189</v>
      </c>
      <c r="G4" s="38" t="s">
        <v>189</v>
      </c>
    </row>
    <row r="5" spans="1:7" s="25" customFormat="1" ht="30" customHeight="1">
      <c r="A5" s="26">
        <v>1</v>
      </c>
      <c r="B5" s="39" t="s">
        <v>133</v>
      </c>
      <c r="C5" s="35">
        <v>3512</v>
      </c>
      <c r="D5" s="35">
        <v>589</v>
      </c>
      <c r="E5" s="35">
        <v>775</v>
      </c>
      <c r="F5" s="35">
        <v>1016</v>
      </c>
      <c r="G5" s="35">
        <v>1132</v>
      </c>
    </row>
    <row r="6" spans="1:7" s="40" customFormat="1" ht="17.100000000000001" customHeight="1">
      <c r="A6" s="26">
        <v>2</v>
      </c>
      <c r="B6" s="41" t="s">
        <v>190</v>
      </c>
      <c r="C6" s="42">
        <v>3512</v>
      </c>
      <c r="D6" s="42">
        <v>589</v>
      </c>
      <c r="E6" s="42">
        <v>775</v>
      </c>
      <c r="F6" s="42">
        <v>1016</v>
      </c>
      <c r="G6" s="42">
        <v>1132</v>
      </c>
    </row>
    <row r="7" spans="1:7" s="46" customFormat="1" ht="15.75" customHeight="1">
      <c r="A7" s="26"/>
      <c r="B7" s="43" t="s">
        <v>191</v>
      </c>
      <c r="C7" s="44">
        <v>2682</v>
      </c>
      <c r="D7" s="45">
        <v>390</v>
      </c>
      <c r="E7" s="47">
        <v>554</v>
      </c>
      <c r="F7" s="47">
        <v>806</v>
      </c>
      <c r="G7" s="47">
        <v>932</v>
      </c>
    </row>
    <row r="8" spans="1:7" s="46" customFormat="1" ht="15.75" customHeight="1">
      <c r="A8" s="26"/>
      <c r="B8" s="43" t="s">
        <v>192</v>
      </c>
      <c r="C8" s="44">
        <v>830</v>
      </c>
      <c r="D8" s="44">
        <v>199</v>
      </c>
      <c r="E8" s="47">
        <v>221</v>
      </c>
      <c r="F8" s="47">
        <v>210</v>
      </c>
      <c r="G8" s="47">
        <v>200</v>
      </c>
    </row>
    <row r="9" spans="1:7" s="25" customFormat="1" ht="30" customHeight="1">
      <c r="A9" s="26">
        <v>1</v>
      </c>
      <c r="B9" s="39" t="s">
        <v>193</v>
      </c>
      <c r="C9" s="35">
        <v>505</v>
      </c>
      <c r="D9" s="35">
        <v>255</v>
      </c>
      <c r="E9" s="35">
        <v>103</v>
      </c>
      <c r="F9" s="35">
        <v>130</v>
      </c>
      <c r="G9" s="35">
        <v>17</v>
      </c>
    </row>
    <row r="10" spans="1:7" s="40" customFormat="1" ht="17.100000000000001" customHeight="1">
      <c r="A10" s="26">
        <v>2</v>
      </c>
      <c r="B10" s="41" t="s">
        <v>190</v>
      </c>
      <c r="C10" s="42">
        <v>505</v>
      </c>
      <c r="D10" s="42">
        <v>255</v>
      </c>
      <c r="E10" s="42">
        <v>103</v>
      </c>
      <c r="F10" s="42">
        <v>130</v>
      </c>
      <c r="G10" s="42">
        <v>17</v>
      </c>
    </row>
    <row r="11" spans="1:7" s="46" customFormat="1" ht="15.75" customHeight="1">
      <c r="A11" s="26"/>
      <c r="B11" s="43" t="s">
        <v>191</v>
      </c>
      <c r="C11" s="44">
        <v>493</v>
      </c>
      <c r="D11" s="47">
        <v>255</v>
      </c>
      <c r="E11" s="47">
        <v>103</v>
      </c>
      <c r="F11" s="47">
        <v>127</v>
      </c>
      <c r="G11" s="47">
        <v>8</v>
      </c>
    </row>
    <row r="12" spans="1:7" s="46" customFormat="1" ht="15.75" customHeight="1">
      <c r="A12" s="26"/>
      <c r="B12" s="43" t="s">
        <v>192</v>
      </c>
      <c r="C12" s="44">
        <v>12</v>
      </c>
      <c r="D12" s="47"/>
      <c r="E12" s="47"/>
      <c r="F12" s="47">
        <v>3</v>
      </c>
      <c r="G12" s="47">
        <v>9</v>
      </c>
    </row>
    <row r="13" spans="1:7" s="25" customFormat="1" ht="28.5" customHeight="1">
      <c r="A13" s="26">
        <v>1</v>
      </c>
      <c r="B13" s="39" t="s">
        <v>141</v>
      </c>
      <c r="C13" s="35">
        <v>428</v>
      </c>
      <c r="D13" s="35">
        <v>0</v>
      </c>
      <c r="E13" s="35">
        <v>0</v>
      </c>
      <c r="F13" s="35">
        <v>308</v>
      </c>
      <c r="G13" s="35">
        <v>120</v>
      </c>
    </row>
    <row r="14" spans="1:7" s="48" customFormat="1" ht="17.100000000000001" customHeight="1">
      <c r="A14" s="26">
        <v>2</v>
      </c>
      <c r="B14" s="41" t="s">
        <v>190</v>
      </c>
      <c r="C14" s="42">
        <v>428</v>
      </c>
      <c r="D14" s="42">
        <v>0</v>
      </c>
      <c r="E14" s="42">
        <v>0</v>
      </c>
      <c r="F14" s="42">
        <v>308</v>
      </c>
      <c r="G14" s="42">
        <v>120</v>
      </c>
    </row>
    <row r="15" spans="1:7" s="46" customFormat="1" ht="15.75" customHeight="1">
      <c r="A15" s="26"/>
      <c r="B15" s="43" t="s">
        <v>191</v>
      </c>
      <c r="C15" s="44">
        <v>318</v>
      </c>
      <c r="D15" s="47"/>
      <c r="E15" s="47"/>
      <c r="F15" s="47">
        <v>266</v>
      </c>
      <c r="G15" s="47">
        <v>52</v>
      </c>
    </row>
    <row r="16" spans="1:7" s="46" customFormat="1" ht="15.75" customHeight="1">
      <c r="A16" s="26"/>
      <c r="B16" s="43" t="s">
        <v>192</v>
      </c>
      <c r="C16" s="44">
        <v>110</v>
      </c>
      <c r="D16" s="47"/>
      <c r="E16" s="47"/>
      <c r="F16" s="47">
        <v>42</v>
      </c>
      <c r="G16" s="47">
        <v>68</v>
      </c>
    </row>
    <row r="17" spans="1:7" s="25" customFormat="1" ht="28.5" customHeight="1">
      <c r="A17" s="26">
        <v>1</v>
      </c>
      <c r="B17" s="39" t="s">
        <v>143</v>
      </c>
      <c r="C17" s="35">
        <v>1121</v>
      </c>
      <c r="D17" s="35">
        <v>168</v>
      </c>
      <c r="E17" s="35">
        <v>112</v>
      </c>
      <c r="F17" s="35">
        <v>280</v>
      </c>
      <c r="G17" s="35">
        <v>561</v>
      </c>
    </row>
    <row r="18" spans="1:7" s="48" customFormat="1" ht="16.5" customHeight="1">
      <c r="A18" s="26">
        <v>2</v>
      </c>
      <c r="B18" s="41" t="s">
        <v>190</v>
      </c>
      <c r="C18" s="42">
        <v>1121</v>
      </c>
      <c r="D18" s="42">
        <v>168</v>
      </c>
      <c r="E18" s="42">
        <v>112</v>
      </c>
      <c r="F18" s="42">
        <v>280</v>
      </c>
      <c r="G18" s="42">
        <v>561</v>
      </c>
    </row>
    <row r="19" spans="1:7" s="46" customFormat="1" ht="15.75" customHeight="1">
      <c r="A19" s="26"/>
      <c r="B19" s="43" t="s">
        <v>191</v>
      </c>
      <c r="C19" s="44">
        <v>1121</v>
      </c>
      <c r="D19" s="47">
        <v>168</v>
      </c>
      <c r="E19" s="47">
        <v>112</v>
      </c>
      <c r="F19" s="47">
        <v>280</v>
      </c>
      <c r="G19" s="47">
        <v>561</v>
      </c>
    </row>
    <row r="20" spans="1:7" s="46" customFormat="1" ht="15.75" customHeight="1">
      <c r="A20" s="26"/>
      <c r="B20" s="43" t="s">
        <v>192</v>
      </c>
      <c r="C20" s="44"/>
      <c r="D20" s="47"/>
      <c r="E20" s="47"/>
      <c r="F20" s="47"/>
      <c r="G20" s="47"/>
    </row>
    <row r="21" spans="1:7" s="25" customFormat="1" ht="28.5" customHeight="1">
      <c r="A21" s="26">
        <v>1</v>
      </c>
      <c r="B21" s="39" t="s">
        <v>147</v>
      </c>
      <c r="C21" s="35">
        <v>1078</v>
      </c>
      <c r="D21" s="35">
        <v>297</v>
      </c>
      <c r="E21" s="35">
        <v>237</v>
      </c>
      <c r="F21" s="35">
        <v>269</v>
      </c>
      <c r="G21" s="35">
        <v>275</v>
      </c>
    </row>
    <row r="22" spans="1:7" s="49" customFormat="1" ht="18.75" customHeight="1">
      <c r="A22" s="26">
        <v>2</v>
      </c>
      <c r="B22" s="41" t="s">
        <v>190</v>
      </c>
      <c r="C22" s="42">
        <v>1078</v>
      </c>
      <c r="D22" s="42">
        <v>297</v>
      </c>
      <c r="E22" s="42">
        <v>237</v>
      </c>
      <c r="F22" s="42">
        <v>269</v>
      </c>
      <c r="G22" s="42">
        <v>275</v>
      </c>
    </row>
    <row r="23" spans="1:7" s="49" customFormat="1" ht="15.75" customHeight="1">
      <c r="A23" s="26"/>
      <c r="B23" s="43" t="s">
        <v>191</v>
      </c>
      <c r="C23" s="44">
        <v>878</v>
      </c>
      <c r="D23" s="47">
        <v>276</v>
      </c>
      <c r="E23" s="47">
        <v>218</v>
      </c>
      <c r="F23" s="47">
        <v>211</v>
      </c>
      <c r="G23" s="47">
        <v>173</v>
      </c>
    </row>
    <row r="24" spans="1:7" s="49" customFormat="1" ht="15.75" customHeight="1">
      <c r="A24" s="26"/>
      <c r="B24" s="43" t="s">
        <v>192</v>
      </c>
      <c r="C24" s="44">
        <v>200</v>
      </c>
      <c r="D24" s="47">
        <v>21</v>
      </c>
      <c r="E24" s="47">
        <v>19</v>
      </c>
      <c r="F24" s="47">
        <v>58</v>
      </c>
      <c r="G24" s="47">
        <v>102</v>
      </c>
    </row>
    <row r="25" spans="1:7" s="49" customFormat="1" ht="29.25" customHeight="1">
      <c r="A25" s="26">
        <v>1</v>
      </c>
      <c r="B25" s="39" t="s">
        <v>194</v>
      </c>
      <c r="C25" s="35">
        <v>6546</v>
      </c>
      <c r="D25" s="35">
        <v>1292</v>
      </c>
      <c r="E25" s="35">
        <v>543</v>
      </c>
      <c r="F25" s="35">
        <v>1761</v>
      </c>
      <c r="G25" s="35">
        <v>2950</v>
      </c>
    </row>
    <row r="26" spans="1:7" s="48" customFormat="1" ht="17.100000000000001" customHeight="1">
      <c r="A26" s="26">
        <v>2</v>
      </c>
      <c r="B26" s="50" t="s">
        <v>190</v>
      </c>
      <c r="C26" s="42">
        <v>6546</v>
      </c>
      <c r="D26" s="42">
        <v>1292</v>
      </c>
      <c r="E26" s="42">
        <v>543</v>
      </c>
      <c r="F26" s="42">
        <v>1761</v>
      </c>
      <c r="G26" s="42">
        <v>2950</v>
      </c>
    </row>
    <row r="27" spans="1:7" s="46" customFormat="1" ht="15.75" customHeight="1">
      <c r="A27" s="26"/>
      <c r="B27" s="43" t="s">
        <v>191</v>
      </c>
      <c r="C27" s="44">
        <v>6546</v>
      </c>
      <c r="D27" s="47">
        <v>1292</v>
      </c>
      <c r="E27" s="47">
        <v>543</v>
      </c>
      <c r="F27" s="47">
        <v>1761</v>
      </c>
      <c r="G27" s="47">
        <v>2950</v>
      </c>
    </row>
    <row r="28" spans="1:7" s="46" customFormat="1" ht="15.75" customHeight="1">
      <c r="A28" s="26"/>
      <c r="B28" s="43" t="s">
        <v>192</v>
      </c>
      <c r="C28" s="44"/>
      <c r="D28" s="47"/>
      <c r="E28" s="47"/>
      <c r="F28" s="47"/>
      <c r="G28" s="47"/>
    </row>
    <row r="29" spans="1:7" s="49" customFormat="1" ht="29.25" customHeight="1">
      <c r="A29" s="26">
        <v>1</v>
      </c>
      <c r="B29" s="39" t="s">
        <v>155</v>
      </c>
      <c r="C29" s="35">
        <v>1000</v>
      </c>
      <c r="D29" s="35">
        <v>0</v>
      </c>
      <c r="E29" s="35">
        <v>38</v>
      </c>
      <c r="F29" s="35">
        <v>380</v>
      </c>
      <c r="G29" s="35">
        <v>582</v>
      </c>
    </row>
    <row r="30" spans="1:7" s="48" customFormat="1" ht="17.100000000000001" customHeight="1">
      <c r="A30" s="26">
        <v>2</v>
      </c>
      <c r="B30" s="50" t="s">
        <v>190</v>
      </c>
      <c r="C30" s="42">
        <v>1000</v>
      </c>
      <c r="D30" s="42">
        <v>0</v>
      </c>
      <c r="E30" s="42">
        <v>38</v>
      </c>
      <c r="F30" s="42">
        <v>380</v>
      </c>
      <c r="G30" s="42">
        <v>582</v>
      </c>
    </row>
    <row r="31" spans="1:7" s="46" customFormat="1" ht="15.75" customHeight="1">
      <c r="A31" s="26"/>
      <c r="B31" s="43" t="s">
        <v>191</v>
      </c>
      <c r="C31" s="44">
        <v>982</v>
      </c>
      <c r="D31" s="47"/>
      <c r="E31" s="47">
        <v>20</v>
      </c>
      <c r="F31" s="47">
        <v>380</v>
      </c>
      <c r="G31" s="47">
        <v>582</v>
      </c>
    </row>
    <row r="32" spans="1:7" s="46" customFormat="1" ht="15.75" customHeight="1">
      <c r="A32" s="26"/>
      <c r="B32" s="43" t="s">
        <v>192</v>
      </c>
      <c r="C32" s="44">
        <v>18</v>
      </c>
      <c r="D32" s="47"/>
      <c r="E32" s="47">
        <v>18</v>
      </c>
      <c r="F32" s="47"/>
      <c r="G32" s="47"/>
    </row>
    <row r="33" spans="1:7" s="49" customFormat="1" ht="29.25" customHeight="1">
      <c r="A33" s="26">
        <v>1</v>
      </c>
      <c r="B33" s="39" t="s">
        <v>195</v>
      </c>
      <c r="C33" s="35">
        <v>1648</v>
      </c>
      <c r="D33" s="35">
        <v>571</v>
      </c>
      <c r="E33" s="35">
        <v>622</v>
      </c>
      <c r="F33" s="35">
        <v>368</v>
      </c>
      <c r="G33" s="35">
        <v>87</v>
      </c>
    </row>
    <row r="34" spans="1:7" s="48" customFormat="1" ht="17.100000000000001" customHeight="1">
      <c r="A34" s="26">
        <v>2</v>
      </c>
      <c r="B34" s="50" t="s">
        <v>190</v>
      </c>
      <c r="C34" s="42">
        <v>1648</v>
      </c>
      <c r="D34" s="42">
        <v>571</v>
      </c>
      <c r="E34" s="42">
        <v>622</v>
      </c>
      <c r="F34" s="42">
        <v>368</v>
      </c>
      <c r="G34" s="42">
        <v>87</v>
      </c>
    </row>
    <row r="35" spans="1:7" s="46" customFormat="1" ht="15.75" customHeight="1">
      <c r="A35" s="26"/>
      <c r="B35" s="43" t="s">
        <v>191</v>
      </c>
      <c r="C35" s="44">
        <v>1468</v>
      </c>
      <c r="D35" s="47">
        <v>524</v>
      </c>
      <c r="E35" s="47">
        <v>506</v>
      </c>
      <c r="F35" s="47">
        <v>353</v>
      </c>
      <c r="G35" s="47">
        <v>85</v>
      </c>
    </row>
    <row r="36" spans="1:7" s="46" customFormat="1" ht="15.75" customHeight="1">
      <c r="A36" s="26"/>
      <c r="B36" s="43" t="s">
        <v>192</v>
      </c>
      <c r="C36" s="44">
        <v>180</v>
      </c>
      <c r="D36" s="47">
        <v>47</v>
      </c>
      <c r="E36" s="47">
        <v>116</v>
      </c>
      <c r="F36" s="47">
        <v>15</v>
      </c>
      <c r="G36" s="47">
        <v>2</v>
      </c>
    </row>
    <row r="37" spans="1:7" s="49" customFormat="1" ht="29.25" customHeight="1">
      <c r="A37" s="26">
        <v>1</v>
      </c>
      <c r="B37" s="39" t="s">
        <v>196</v>
      </c>
      <c r="C37" s="35">
        <v>158</v>
      </c>
      <c r="D37" s="35">
        <v>45</v>
      </c>
      <c r="E37" s="35">
        <v>41</v>
      </c>
      <c r="F37" s="35">
        <v>39</v>
      </c>
      <c r="G37" s="35">
        <v>33</v>
      </c>
    </row>
    <row r="38" spans="1:7" s="48" customFormat="1" ht="17.100000000000001" customHeight="1">
      <c r="A38" s="26">
        <v>2</v>
      </c>
      <c r="B38" s="50" t="s">
        <v>197</v>
      </c>
      <c r="C38" s="42">
        <v>158</v>
      </c>
      <c r="D38" s="42">
        <v>45</v>
      </c>
      <c r="E38" s="42">
        <v>41</v>
      </c>
      <c r="F38" s="42">
        <v>39</v>
      </c>
      <c r="G38" s="42">
        <v>33</v>
      </c>
    </row>
    <row r="39" spans="1:7" s="46" customFormat="1" ht="15.75" customHeight="1">
      <c r="A39" s="26"/>
      <c r="B39" s="43" t="s">
        <v>191</v>
      </c>
      <c r="C39" s="44">
        <v>158</v>
      </c>
      <c r="D39" s="47">
        <v>45</v>
      </c>
      <c r="E39" s="47">
        <v>41</v>
      </c>
      <c r="F39" s="47">
        <v>39</v>
      </c>
      <c r="G39" s="47">
        <v>33</v>
      </c>
    </row>
    <row r="40" spans="1:7" s="46" customFormat="1" ht="15.75" customHeight="1">
      <c r="A40" s="26"/>
      <c r="B40" s="43" t="s">
        <v>192</v>
      </c>
      <c r="C40" s="44"/>
      <c r="D40" s="51"/>
      <c r="E40" s="51"/>
      <c r="F40" s="51"/>
      <c r="G40" s="52"/>
    </row>
    <row r="41" spans="1:7" s="49" customFormat="1" ht="29.25" customHeight="1">
      <c r="A41" s="26">
        <v>1</v>
      </c>
      <c r="B41" s="39" t="s">
        <v>198</v>
      </c>
      <c r="C41" s="35">
        <v>3966</v>
      </c>
      <c r="D41" s="35">
        <v>618</v>
      </c>
      <c r="E41" s="35">
        <v>1337</v>
      </c>
      <c r="F41" s="35">
        <v>992</v>
      </c>
      <c r="G41" s="35">
        <v>1019</v>
      </c>
    </row>
    <row r="42" spans="1:7" s="48" customFormat="1" ht="17.100000000000001" customHeight="1">
      <c r="A42" s="26">
        <v>2</v>
      </c>
      <c r="B42" s="50" t="s">
        <v>197</v>
      </c>
      <c r="C42" s="42">
        <v>3966</v>
      </c>
      <c r="D42" s="42">
        <v>618</v>
      </c>
      <c r="E42" s="42">
        <v>1337</v>
      </c>
      <c r="F42" s="42">
        <v>992</v>
      </c>
      <c r="G42" s="42">
        <v>1019</v>
      </c>
    </row>
    <row r="43" spans="1:7" s="46" customFormat="1" ht="15.75" customHeight="1">
      <c r="A43" s="26"/>
      <c r="B43" s="43" t="s">
        <v>191</v>
      </c>
      <c r="C43" s="44">
        <v>2966</v>
      </c>
      <c r="D43" s="44">
        <v>503</v>
      </c>
      <c r="E43" s="47">
        <v>1111</v>
      </c>
      <c r="F43" s="47">
        <v>752</v>
      </c>
      <c r="G43" s="47">
        <v>600</v>
      </c>
    </row>
    <row r="44" spans="1:7" s="46" customFormat="1" ht="15.75" customHeight="1">
      <c r="A44" s="26"/>
      <c r="B44" s="43" t="s">
        <v>192</v>
      </c>
      <c r="C44" s="44">
        <v>1000</v>
      </c>
      <c r="D44" s="44">
        <v>115</v>
      </c>
      <c r="E44" s="47">
        <v>226</v>
      </c>
      <c r="F44" s="47">
        <v>240</v>
      </c>
      <c r="G44" s="47">
        <v>419</v>
      </c>
    </row>
    <row r="45" spans="1:7" s="25" customFormat="1" ht="30.75" customHeight="1">
      <c r="A45" s="26">
        <v>1</v>
      </c>
      <c r="B45" s="39" t="s">
        <v>199</v>
      </c>
      <c r="C45" s="35">
        <v>1832</v>
      </c>
      <c r="D45" s="35">
        <v>233</v>
      </c>
      <c r="E45" s="35">
        <v>409</v>
      </c>
      <c r="F45" s="35">
        <v>459</v>
      </c>
      <c r="G45" s="35">
        <v>731</v>
      </c>
    </row>
    <row r="46" spans="1:7" s="54" customFormat="1" ht="17.100000000000001" customHeight="1">
      <c r="A46" s="26">
        <v>2</v>
      </c>
      <c r="B46" s="53" t="s">
        <v>197</v>
      </c>
      <c r="C46" s="42">
        <v>1832</v>
      </c>
      <c r="D46" s="42">
        <v>233</v>
      </c>
      <c r="E46" s="42">
        <v>409</v>
      </c>
      <c r="F46" s="42">
        <v>459</v>
      </c>
      <c r="G46" s="42">
        <v>731</v>
      </c>
    </row>
    <row r="47" spans="1:7" s="46" customFormat="1" ht="15.75" customHeight="1">
      <c r="A47" s="26"/>
      <c r="B47" s="43" t="s">
        <v>191</v>
      </c>
      <c r="C47" s="44">
        <v>1558</v>
      </c>
      <c r="D47" s="44">
        <v>211</v>
      </c>
      <c r="E47" s="47">
        <v>367</v>
      </c>
      <c r="F47" s="47">
        <v>390</v>
      </c>
      <c r="G47" s="47">
        <v>590</v>
      </c>
    </row>
    <row r="48" spans="1:7" s="46" customFormat="1" ht="15.75" customHeight="1">
      <c r="A48" s="26"/>
      <c r="B48" s="43" t="s">
        <v>192</v>
      </c>
      <c r="C48" s="44">
        <v>274</v>
      </c>
      <c r="D48" s="44">
        <v>22</v>
      </c>
      <c r="E48" s="47">
        <v>42</v>
      </c>
      <c r="F48" s="47">
        <v>69</v>
      </c>
      <c r="G48" s="47">
        <v>141</v>
      </c>
    </row>
    <row r="49" spans="1:7" s="55" customFormat="1" ht="25.5" customHeight="1">
      <c r="A49" s="26">
        <v>1</v>
      </c>
      <c r="B49" s="39" t="s">
        <v>200</v>
      </c>
      <c r="C49" s="35">
        <v>3345</v>
      </c>
      <c r="D49" s="35">
        <v>824</v>
      </c>
      <c r="E49" s="35">
        <v>1068</v>
      </c>
      <c r="F49" s="35">
        <v>836</v>
      </c>
      <c r="G49" s="35">
        <v>617</v>
      </c>
    </row>
    <row r="50" spans="1:7" s="55" customFormat="1" ht="19.5" customHeight="1">
      <c r="A50" s="26">
        <v>2</v>
      </c>
      <c r="B50" s="50" t="s">
        <v>197</v>
      </c>
      <c r="C50" s="42">
        <v>3345</v>
      </c>
      <c r="D50" s="42">
        <v>824</v>
      </c>
      <c r="E50" s="42">
        <v>1068</v>
      </c>
      <c r="F50" s="42">
        <v>836</v>
      </c>
      <c r="G50" s="42">
        <v>617</v>
      </c>
    </row>
    <row r="51" spans="1:7" s="55" customFormat="1" ht="17.25" customHeight="1">
      <c r="A51" s="26"/>
      <c r="B51" s="43" t="s">
        <v>191</v>
      </c>
      <c r="C51" s="44">
        <v>2945</v>
      </c>
      <c r="D51" s="44">
        <v>697</v>
      </c>
      <c r="E51" s="47">
        <v>929</v>
      </c>
      <c r="F51" s="47">
        <v>732</v>
      </c>
      <c r="G51" s="47">
        <v>587</v>
      </c>
    </row>
    <row r="52" spans="1:7" s="55" customFormat="1" ht="17.25" customHeight="1">
      <c r="A52" s="26"/>
      <c r="B52" s="43" t="s">
        <v>192</v>
      </c>
      <c r="C52" s="44">
        <v>400</v>
      </c>
      <c r="D52" s="44">
        <v>127</v>
      </c>
      <c r="E52" s="47">
        <v>139</v>
      </c>
      <c r="F52" s="47">
        <v>104</v>
      </c>
      <c r="G52" s="47">
        <v>30</v>
      </c>
    </row>
    <row r="53" spans="1:7" s="25" customFormat="1" ht="27.75" customHeight="1">
      <c r="A53" s="26">
        <v>1</v>
      </c>
      <c r="B53" s="39" t="s">
        <v>173</v>
      </c>
      <c r="C53" s="35">
        <v>6156</v>
      </c>
      <c r="D53" s="35">
        <v>964</v>
      </c>
      <c r="E53" s="35">
        <v>975</v>
      </c>
      <c r="F53" s="35">
        <v>1121</v>
      </c>
      <c r="G53" s="35">
        <v>3096</v>
      </c>
    </row>
    <row r="54" spans="1:7" s="48" customFormat="1" ht="17.100000000000001" customHeight="1">
      <c r="A54" s="26">
        <v>2</v>
      </c>
      <c r="B54" s="42" t="s">
        <v>190</v>
      </c>
      <c r="C54" s="42">
        <v>2786</v>
      </c>
      <c r="D54" s="42">
        <v>450</v>
      </c>
      <c r="E54" s="42">
        <v>459</v>
      </c>
      <c r="F54" s="42">
        <v>570</v>
      </c>
      <c r="G54" s="42">
        <v>1307</v>
      </c>
    </row>
    <row r="55" spans="1:7" s="46" customFormat="1" ht="15.75" customHeight="1">
      <c r="A55" s="26"/>
      <c r="B55" s="43" t="s">
        <v>191</v>
      </c>
      <c r="C55" s="44">
        <v>2428</v>
      </c>
      <c r="D55" s="47">
        <v>364</v>
      </c>
      <c r="E55" s="47">
        <v>367</v>
      </c>
      <c r="F55" s="47">
        <v>470</v>
      </c>
      <c r="G55" s="47">
        <v>1227</v>
      </c>
    </row>
    <row r="56" spans="1:7" s="46" customFormat="1" ht="15.75" customHeight="1">
      <c r="A56" s="26"/>
      <c r="B56" s="43" t="s">
        <v>192</v>
      </c>
      <c r="C56" s="44">
        <v>358</v>
      </c>
      <c r="D56" s="47">
        <v>86</v>
      </c>
      <c r="E56" s="47">
        <v>92</v>
      </c>
      <c r="F56" s="47">
        <v>100</v>
      </c>
      <c r="G56" s="47">
        <v>80</v>
      </c>
    </row>
    <row r="57" spans="1:7" s="48" customFormat="1" ht="17.100000000000001" customHeight="1">
      <c r="A57" s="26">
        <v>2</v>
      </c>
      <c r="B57" s="42" t="s">
        <v>197</v>
      </c>
      <c r="C57" s="42">
        <v>3370</v>
      </c>
      <c r="D57" s="42">
        <v>514</v>
      </c>
      <c r="E57" s="42">
        <v>516</v>
      </c>
      <c r="F57" s="42">
        <v>551</v>
      </c>
      <c r="G57" s="42">
        <v>1789</v>
      </c>
    </row>
    <row r="58" spans="1:7" s="46" customFormat="1" ht="15.75" customHeight="1">
      <c r="A58" s="26"/>
      <c r="B58" s="43" t="s">
        <v>191</v>
      </c>
      <c r="C58" s="44">
        <v>2887</v>
      </c>
      <c r="D58" s="47">
        <v>456</v>
      </c>
      <c r="E58" s="47">
        <v>442</v>
      </c>
      <c r="F58" s="47">
        <v>451</v>
      </c>
      <c r="G58" s="47">
        <v>1538</v>
      </c>
    </row>
    <row r="59" spans="1:7" s="46" customFormat="1" ht="15.75" customHeight="1">
      <c r="A59" s="26"/>
      <c r="B59" s="43" t="s">
        <v>192</v>
      </c>
      <c r="C59" s="44">
        <v>483</v>
      </c>
      <c r="D59" s="47">
        <v>58</v>
      </c>
      <c r="E59" s="47">
        <v>74</v>
      </c>
      <c r="F59" s="47">
        <v>100</v>
      </c>
      <c r="G59" s="47">
        <v>251</v>
      </c>
    </row>
    <row r="60" spans="1:7" s="57" customFormat="1" ht="29.25" customHeight="1">
      <c r="A60" s="58">
        <v>1</v>
      </c>
      <c r="B60" s="39" t="s">
        <v>201</v>
      </c>
      <c r="C60" s="35">
        <v>3630</v>
      </c>
      <c r="D60" s="35">
        <v>694</v>
      </c>
      <c r="E60" s="35">
        <v>1006</v>
      </c>
      <c r="F60" s="35">
        <v>920</v>
      </c>
      <c r="G60" s="35">
        <v>1010</v>
      </c>
    </row>
    <row r="61" spans="1:7" s="46" customFormat="1" ht="15.75" customHeight="1">
      <c r="A61" s="26">
        <v>2</v>
      </c>
      <c r="B61" s="53" t="s">
        <v>197</v>
      </c>
      <c r="C61" s="42">
        <v>3630</v>
      </c>
      <c r="D61" s="42">
        <v>694</v>
      </c>
      <c r="E61" s="42">
        <v>1006</v>
      </c>
      <c r="F61" s="42">
        <v>920</v>
      </c>
      <c r="G61" s="42">
        <v>1010</v>
      </c>
    </row>
    <row r="62" spans="1:7" s="46" customFormat="1" ht="15.75" customHeight="1">
      <c r="A62" s="26"/>
      <c r="B62" s="43" t="s">
        <v>191</v>
      </c>
      <c r="C62" s="44">
        <v>2630</v>
      </c>
      <c r="D62" s="47">
        <v>530</v>
      </c>
      <c r="E62" s="47">
        <v>769</v>
      </c>
      <c r="F62" s="47">
        <v>611</v>
      </c>
      <c r="G62" s="47">
        <v>720</v>
      </c>
    </row>
    <row r="63" spans="1:7" s="46" customFormat="1" ht="15.75" customHeight="1">
      <c r="A63" s="26"/>
      <c r="B63" s="43" t="s">
        <v>192</v>
      </c>
      <c r="C63" s="44">
        <v>1000</v>
      </c>
      <c r="D63" s="47">
        <v>164</v>
      </c>
      <c r="E63" s="47">
        <v>237</v>
      </c>
      <c r="F63" s="47">
        <v>309</v>
      </c>
      <c r="G63" s="47">
        <v>290</v>
      </c>
    </row>
    <row r="64" spans="1:7" s="25" customFormat="1" ht="24.75" customHeight="1">
      <c r="A64" s="26">
        <v>1</v>
      </c>
      <c r="B64" s="39" t="s">
        <v>202</v>
      </c>
      <c r="C64" s="35">
        <v>6925</v>
      </c>
      <c r="D64" s="35">
        <v>944</v>
      </c>
      <c r="E64" s="35">
        <v>1587</v>
      </c>
      <c r="F64" s="35">
        <v>1903</v>
      </c>
      <c r="G64" s="35">
        <v>2491</v>
      </c>
    </row>
    <row r="65" spans="1:7" s="48" customFormat="1" ht="16.5" customHeight="1">
      <c r="A65" s="26">
        <v>2</v>
      </c>
      <c r="B65" s="42" t="s">
        <v>190</v>
      </c>
      <c r="C65" s="42">
        <v>3326</v>
      </c>
      <c r="D65" s="42">
        <v>559</v>
      </c>
      <c r="E65" s="42">
        <v>967</v>
      </c>
      <c r="F65" s="42">
        <v>1063</v>
      </c>
      <c r="G65" s="42">
        <v>737</v>
      </c>
    </row>
    <row r="66" spans="1:7" s="46" customFormat="1" ht="15.75" customHeight="1">
      <c r="A66" s="26"/>
      <c r="B66" s="43" t="s">
        <v>191</v>
      </c>
      <c r="C66" s="44">
        <v>2351</v>
      </c>
      <c r="D66" s="44">
        <v>266</v>
      </c>
      <c r="E66" s="44">
        <v>458</v>
      </c>
      <c r="F66" s="44">
        <v>941</v>
      </c>
      <c r="G66" s="44">
        <v>686</v>
      </c>
    </row>
    <row r="67" spans="1:7" s="46" customFormat="1" ht="15.75" customHeight="1">
      <c r="A67" s="26"/>
      <c r="B67" s="43" t="s">
        <v>192</v>
      </c>
      <c r="C67" s="44">
        <v>975</v>
      </c>
      <c r="D67" s="44">
        <v>293</v>
      </c>
      <c r="E67" s="44">
        <v>509</v>
      </c>
      <c r="F67" s="44">
        <v>122</v>
      </c>
      <c r="G67" s="44">
        <v>51</v>
      </c>
    </row>
    <row r="68" spans="1:7" s="48" customFormat="1" ht="17.100000000000001" customHeight="1">
      <c r="A68" s="26">
        <v>2</v>
      </c>
      <c r="B68" s="41" t="s">
        <v>197</v>
      </c>
      <c r="C68" s="42">
        <v>3599</v>
      </c>
      <c r="D68" s="42">
        <v>385</v>
      </c>
      <c r="E68" s="42">
        <v>620</v>
      </c>
      <c r="F68" s="42">
        <v>840</v>
      </c>
      <c r="G68" s="42">
        <v>1754</v>
      </c>
    </row>
    <row r="69" spans="1:7" s="46" customFormat="1" ht="15.75" customHeight="1">
      <c r="A69" s="26"/>
      <c r="B69" s="43" t="s">
        <v>191</v>
      </c>
      <c r="C69" s="44">
        <v>2799</v>
      </c>
      <c r="D69" s="44">
        <v>274</v>
      </c>
      <c r="E69" s="44">
        <v>452</v>
      </c>
      <c r="F69" s="44">
        <v>516</v>
      </c>
      <c r="G69" s="44">
        <v>1557</v>
      </c>
    </row>
    <row r="70" spans="1:7" s="46" customFormat="1" ht="15.75" customHeight="1">
      <c r="A70" s="26"/>
      <c r="B70" s="43" t="s">
        <v>192</v>
      </c>
      <c r="C70" s="44">
        <v>800</v>
      </c>
      <c r="D70" s="44">
        <v>111</v>
      </c>
      <c r="E70" s="44">
        <v>168</v>
      </c>
      <c r="F70" s="44">
        <v>324</v>
      </c>
      <c r="G70" s="44">
        <v>197</v>
      </c>
    </row>
    <row r="71" spans="1:7" s="57" customFormat="1" ht="29.25" customHeight="1">
      <c r="A71" s="58">
        <v>1</v>
      </c>
      <c r="B71" s="39" t="s">
        <v>104</v>
      </c>
      <c r="C71" s="35">
        <v>4700</v>
      </c>
      <c r="D71" s="35">
        <v>691</v>
      </c>
      <c r="E71" s="35">
        <v>787</v>
      </c>
      <c r="F71" s="35">
        <v>1163</v>
      </c>
      <c r="G71" s="35">
        <v>2059</v>
      </c>
    </row>
    <row r="72" spans="1:7" s="46" customFormat="1" ht="15.75" customHeight="1">
      <c r="A72" s="26">
        <v>2</v>
      </c>
      <c r="B72" s="42" t="s">
        <v>190</v>
      </c>
      <c r="C72" s="42">
        <v>4700</v>
      </c>
      <c r="D72" s="42">
        <v>691</v>
      </c>
      <c r="E72" s="42">
        <v>787</v>
      </c>
      <c r="F72" s="42">
        <v>1163</v>
      </c>
      <c r="G72" s="42">
        <v>2059</v>
      </c>
    </row>
    <row r="73" spans="1:7" s="46" customFormat="1" ht="15.75" customHeight="1">
      <c r="A73" s="26"/>
      <c r="B73" s="43" t="s">
        <v>191</v>
      </c>
      <c r="C73" s="44">
        <v>4410</v>
      </c>
      <c r="D73" s="47">
        <v>575</v>
      </c>
      <c r="E73" s="47">
        <v>629</v>
      </c>
      <c r="F73" s="47">
        <v>1147</v>
      </c>
      <c r="G73" s="47">
        <v>2059</v>
      </c>
    </row>
    <row r="74" spans="1:7" s="46" customFormat="1" ht="15.75" customHeight="1">
      <c r="A74" s="26"/>
      <c r="B74" s="43" t="s">
        <v>192</v>
      </c>
      <c r="C74" s="44">
        <v>290</v>
      </c>
      <c r="D74" s="47">
        <v>116</v>
      </c>
      <c r="E74" s="47">
        <v>158</v>
      </c>
      <c r="F74" s="47">
        <v>16</v>
      </c>
      <c r="G74" s="47">
        <v>0</v>
      </c>
    </row>
    <row r="75" spans="1:7" s="57" customFormat="1" ht="29.25" customHeight="1">
      <c r="A75" s="58">
        <v>1</v>
      </c>
      <c r="B75" s="39" t="s">
        <v>203</v>
      </c>
      <c r="C75" s="35">
        <v>1645</v>
      </c>
      <c r="D75" s="35">
        <v>384</v>
      </c>
      <c r="E75" s="35">
        <v>543</v>
      </c>
      <c r="F75" s="35">
        <v>441</v>
      </c>
      <c r="G75" s="35">
        <v>277</v>
      </c>
    </row>
    <row r="76" spans="1:7" s="46" customFormat="1" ht="15.75" customHeight="1">
      <c r="A76" s="26">
        <v>2</v>
      </c>
      <c r="B76" s="53" t="s">
        <v>197</v>
      </c>
      <c r="C76" s="42">
        <v>1645</v>
      </c>
      <c r="D76" s="42">
        <v>384</v>
      </c>
      <c r="E76" s="42">
        <v>543</v>
      </c>
      <c r="F76" s="42">
        <v>441</v>
      </c>
      <c r="G76" s="42">
        <v>277</v>
      </c>
    </row>
    <row r="77" spans="1:7" s="46" customFormat="1" ht="15.75" customHeight="1">
      <c r="A77" s="26"/>
      <c r="B77" s="43" t="s">
        <v>191</v>
      </c>
      <c r="C77" s="44">
        <v>1245</v>
      </c>
      <c r="D77" s="47">
        <v>260</v>
      </c>
      <c r="E77" s="47">
        <v>349</v>
      </c>
      <c r="F77" s="47">
        <v>381</v>
      </c>
      <c r="G77" s="47">
        <v>255</v>
      </c>
    </row>
    <row r="78" spans="1:7" s="46" customFormat="1" ht="15.75" customHeight="1">
      <c r="A78" s="26"/>
      <c r="B78" s="43" t="s">
        <v>192</v>
      </c>
      <c r="C78" s="44">
        <v>400</v>
      </c>
      <c r="D78" s="47">
        <v>124</v>
      </c>
      <c r="E78" s="47">
        <v>194</v>
      </c>
      <c r="F78" s="47">
        <v>60</v>
      </c>
      <c r="G78" s="47">
        <v>22</v>
      </c>
    </row>
    <row r="79" spans="1:7" s="55" customFormat="1" ht="32.25" customHeight="1">
      <c r="A79" s="26">
        <v>1</v>
      </c>
      <c r="B79" s="59" t="s">
        <v>108</v>
      </c>
      <c r="C79" s="35">
        <v>1643</v>
      </c>
      <c r="D79" s="35">
        <v>332</v>
      </c>
      <c r="E79" s="35">
        <v>264</v>
      </c>
      <c r="F79" s="35">
        <v>524</v>
      </c>
      <c r="G79" s="35">
        <v>523</v>
      </c>
    </row>
    <row r="80" spans="1:7" s="48" customFormat="1" ht="16.5" customHeight="1">
      <c r="A80" s="26">
        <v>2</v>
      </c>
      <c r="B80" s="50" t="s">
        <v>190</v>
      </c>
      <c r="C80" s="42">
        <v>238</v>
      </c>
      <c r="D80" s="42">
        <v>32</v>
      </c>
      <c r="E80" s="42">
        <v>52</v>
      </c>
      <c r="F80" s="42">
        <v>48</v>
      </c>
      <c r="G80" s="42">
        <v>106</v>
      </c>
    </row>
    <row r="81" spans="1:7" s="46" customFormat="1" ht="15.75" customHeight="1">
      <c r="A81" s="26"/>
      <c r="B81" s="43" t="s">
        <v>191</v>
      </c>
      <c r="C81" s="44">
        <v>148</v>
      </c>
      <c r="D81" s="47">
        <v>11</v>
      </c>
      <c r="E81" s="47">
        <v>24</v>
      </c>
      <c r="F81" s="47">
        <v>26</v>
      </c>
      <c r="G81" s="47">
        <v>87</v>
      </c>
    </row>
    <row r="82" spans="1:7" s="46" customFormat="1" ht="15.75" customHeight="1">
      <c r="A82" s="26"/>
      <c r="B82" s="43" t="s">
        <v>192</v>
      </c>
      <c r="C82" s="44">
        <v>90</v>
      </c>
      <c r="D82" s="47">
        <v>21</v>
      </c>
      <c r="E82" s="47">
        <v>28</v>
      </c>
      <c r="F82" s="47">
        <v>22</v>
      </c>
      <c r="G82" s="47">
        <v>19</v>
      </c>
    </row>
    <row r="83" spans="1:7" s="48" customFormat="1" ht="20.25" customHeight="1">
      <c r="A83" s="26">
        <v>2</v>
      </c>
      <c r="B83" s="50" t="s">
        <v>197</v>
      </c>
      <c r="C83" s="60">
        <v>135</v>
      </c>
      <c r="D83" s="42">
        <v>0</v>
      </c>
      <c r="E83" s="42">
        <v>0</v>
      </c>
      <c r="F83" s="42">
        <v>34</v>
      </c>
      <c r="G83" s="42">
        <v>101</v>
      </c>
    </row>
    <row r="84" spans="1:7" s="46" customFormat="1" ht="15.75" customHeight="1">
      <c r="A84" s="26"/>
      <c r="B84" s="43" t="s">
        <v>191</v>
      </c>
      <c r="C84" s="44"/>
      <c r="D84" s="47"/>
      <c r="E84" s="47"/>
      <c r="F84" s="47"/>
      <c r="G84" s="47"/>
    </row>
    <row r="85" spans="1:7" s="46" customFormat="1" ht="15.75" customHeight="1">
      <c r="A85" s="26"/>
      <c r="B85" s="43" t="s">
        <v>192</v>
      </c>
      <c r="C85" s="51">
        <v>135</v>
      </c>
      <c r="D85" s="47"/>
      <c r="E85" s="47"/>
      <c r="F85" s="47">
        <v>34</v>
      </c>
      <c r="G85" s="47">
        <v>101</v>
      </c>
    </row>
    <row r="86" spans="1:7" s="46" customFormat="1" ht="15.75" customHeight="1">
      <c r="A86" s="26">
        <v>2</v>
      </c>
      <c r="B86" s="50" t="s">
        <v>204</v>
      </c>
      <c r="C86" s="60">
        <v>1270</v>
      </c>
      <c r="D86" s="47">
        <v>300</v>
      </c>
      <c r="E86" s="47">
        <v>212</v>
      </c>
      <c r="F86" s="47">
        <v>442</v>
      </c>
      <c r="G86" s="47">
        <v>316</v>
      </c>
    </row>
    <row r="87" spans="1:7" s="25" customFormat="1" ht="38.25" customHeight="1">
      <c r="A87" s="26">
        <v>1</v>
      </c>
      <c r="B87" s="61" t="s">
        <v>175</v>
      </c>
      <c r="C87" s="35">
        <v>1005</v>
      </c>
      <c r="D87" s="35">
        <v>191</v>
      </c>
      <c r="E87" s="35">
        <v>237</v>
      </c>
      <c r="F87" s="35">
        <v>270</v>
      </c>
      <c r="G87" s="35">
        <v>307</v>
      </c>
    </row>
    <row r="88" spans="1:7" s="48" customFormat="1" ht="17.100000000000001" customHeight="1">
      <c r="A88" s="26">
        <v>2</v>
      </c>
      <c r="B88" s="50" t="s">
        <v>190</v>
      </c>
      <c r="C88" s="42">
        <v>1005</v>
      </c>
      <c r="D88" s="42">
        <v>191</v>
      </c>
      <c r="E88" s="42">
        <v>237</v>
      </c>
      <c r="F88" s="42">
        <v>270</v>
      </c>
      <c r="G88" s="42">
        <v>307</v>
      </c>
    </row>
    <row r="89" spans="1:7" s="48" customFormat="1" ht="17.100000000000001" customHeight="1">
      <c r="A89" s="26"/>
      <c r="B89" s="43" t="s">
        <v>191</v>
      </c>
      <c r="C89" s="44">
        <v>655</v>
      </c>
      <c r="D89" s="47">
        <v>105</v>
      </c>
      <c r="E89" s="47">
        <v>132</v>
      </c>
      <c r="F89" s="47">
        <v>190</v>
      </c>
      <c r="G89" s="47">
        <v>228</v>
      </c>
    </row>
    <row r="90" spans="1:7" s="46" customFormat="1" ht="15.75" customHeight="1">
      <c r="A90" s="26"/>
      <c r="B90" s="43" t="s">
        <v>192</v>
      </c>
      <c r="C90" s="44">
        <v>350</v>
      </c>
      <c r="D90" s="47">
        <v>86</v>
      </c>
      <c r="E90" s="47">
        <v>105</v>
      </c>
      <c r="F90" s="47">
        <v>80</v>
      </c>
      <c r="G90" s="47">
        <v>79</v>
      </c>
    </row>
    <row r="91" spans="1:7" s="25" customFormat="1" ht="39" customHeight="1">
      <c r="A91" s="26">
        <v>1</v>
      </c>
      <c r="B91" s="59" t="s">
        <v>227</v>
      </c>
      <c r="C91" s="35">
        <v>2662</v>
      </c>
      <c r="D91" s="35">
        <v>1061</v>
      </c>
      <c r="E91" s="35">
        <v>1601</v>
      </c>
      <c r="F91" s="35">
        <v>0</v>
      </c>
      <c r="G91" s="35">
        <v>0</v>
      </c>
    </row>
    <row r="92" spans="1:7" s="48" customFormat="1" ht="17.100000000000001" customHeight="1">
      <c r="A92" s="26">
        <v>2</v>
      </c>
      <c r="B92" s="50" t="s">
        <v>190</v>
      </c>
      <c r="C92" s="42">
        <v>1297</v>
      </c>
      <c r="D92" s="42">
        <v>310</v>
      </c>
      <c r="E92" s="42">
        <v>987</v>
      </c>
      <c r="F92" s="42">
        <v>0</v>
      </c>
      <c r="G92" s="42">
        <v>0</v>
      </c>
    </row>
    <row r="93" spans="1:7" s="46" customFormat="1" ht="15.75" customHeight="1">
      <c r="A93" s="26"/>
      <c r="B93" s="43" t="s">
        <v>191</v>
      </c>
      <c r="C93" s="44">
        <v>968</v>
      </c>
      <c r="D93" s="47">
        <v>233</v>
      </c>
      <c r="E93" s="47">
        <v>735</v>
      </c>
      <c r="F93" s="47"/>
      <c r="G93" s="47"/>
    </row>
    <row r="94" spans="1:7" s="46" customFormat="1" ht="15.75" customHeight="1">
      <c r="A94" s="26"/>
      <c r="B94" s="43" t="s">
        <v>192</v>
      </c>
      <c r="C94" s="44">
        <v>329</v>
      </c>
      <c r="D94" s="47">
        <v>77</v>
      </c>
      <c r="E94" s="47">
        <v>252</v>
      </c>
      <c r="F94" s="47"/>
      <c r="G94" s="47"/>
    </row>
    <row r="95" spans="1:7" s="46" customFormat="1" ht="15.75" customHeight="1">
      <c r="A95" s="26">
        <v>2</v>
      </c>
      <c r="B95" s="50" t="s">
        <v>197</v>
      </c>
      <c r="C95" s="60">
        <v>1365</v>
      </c>
      <c r="D95" s="42">
        <v>751</v>
      </c>
      <c r="E95" s="42">
        <v>614</v>
      </c>
      <c r="F95" s="42">
        <v>0</v>
      </c>
      <c r="G95" s="42">
        <v>0</v>
      </c>
    </row>
    <row r="96" spans="1:7" s="46" customFormat="1" ht="15.75" customHeight="1">
      <c r="A96" s="26"/>
      <c r="B96" s="43" t="s">
        <v>191</v>
      </c>
      <c r="C96" s="44">
        <v>1233</v>
      </c>
      <c r="D96" s="47">
        <v>681</v>
      </c>
      <c r="E96" s="47">
        <v>552</v>
      </c>
      <c r="F96" s="47"/>
      <c r="G96" s="47"/>
    </row>
    <row r="97" spans="1:7" s="46" customFormat="1" ht="15.75" customHeight="1">
      <c r="A97" s="26"/>
      <c r="B97" s="43" t="s">
        <v>192</v>
      </c>
      <c r="C97" s="51">
        <v>132</v>
      </c>
      <c r="D97" s="47">
        <v>70</v>
      </c>
      <c r="E97" s="47">
        <v>62</v>
      </c>
      <c r="F97" s="47"/>
      <c r="G97" s="47"/>
    </row>
    <row r="98" spans="1:7" s="46" customFormat="1" ht="15.75" customHeight="1">
      <c r="A98" s="26">
        <v>2</v>
      </c>
      <c r="B98" s="50" t="s">
        <v>205</v>
      </c>
      <c r="C98" s="60">
        <v>0</v>
      </c>
      <c r="D98" s="42">
        <v>0</v>
      </c>
      <c r="E98" s="42">
        <v>0</v>
      </c>
      <c r="F98" s="42">
        <v>0</v>
      </c>
      <c r="G98" s="42">
        <v>0</v>
      </c>
    </row>
    <row r="99" spans="1:7" s="46" customFormat="1" ht="15.75" customHeight="1">
      <c r="A99" s="26"/>
      <c r="B99" s="43" t="s">
        <v>191</v>
      </c>
      <c r="C99" s="44">
        <v>0</v>
      </c>
      <c r="D99" s="47"/>
      <c r="E99" s="47"/>
      <c r="F99" s="47">
        <v>0</v>
      </c>
      <c r="G99" s="47"/>
    </row>
    <row r="100" spans="1:7" s="46" customFormat="1" ht="15.75" customHeight="1">
      <c r="A100" s="26"/>
      <c r="B100" s="43" t="s">
        <v>192</v>
      </c>
      <c r="C100" s="51">
        <v>0</v>
      </c>
      <c r="D100" s="47"/>
      <c r="E100" s="47"/>
      <c r="F100" s="47">
        <v>0</v>
      </c>
      <c r="G100" s="47"/>
    </row>
    <row r="101" spans="1:7" s="25" customFormat="1" ht="39" customHeight="1">
      <c r="A101" s="26">
        <v>1</v>
      </c>
      <c r="B101" s="59" t="s">
        <v>206</v>
      </c>
      <c r="C101" s="35">
        <v>6969</v>
      </c>
      <c r="D101" s="35">
        <v>0</v>
      </c>
      <c r="E101" s="35">
        <v>0</v>
      </c>
      <c r="F101" s="35">
        <v>2689</v>
      </c>
      <c r="G101" s="35">
        <v>4280</v>
      </c>
    </row>
    <row r="102" spans="1:7" s="48" customFormat="1" ht="17.100000000000001" customHeight="1">
      <c r="A102" s="26">
        <v>2</v>
      </c>
      <c r="B102" s="50" t="s">
        <v>190</v>
      </c>
      <c r="C102" s="42">
        <v>1893</v>
      </c>
      <c r="D102" s="42">
        <v>0</v>
      </c>
      <c r="E102" s="42">
        <v>0</v>
      </c>
      <c r="F102" s="42">
        <v>1075</v>
      </c>
      <c r="G102" s="42">
        <v>818</v>
      </c>
    </row>
    <row r="103" spans="1:7" s="46" customFormat="1" ht="15.75" customHeight="1">
      <c r="A103" s="26"/>
      <c r="B103" s="43" t="s">
        <v>191</v>
      </c>
      <c r="C103" s="44">
        <v>1547</v>
      </c>
      <c r="D103" s="47"/>
      <c r="E103" s="47"/>
      <c r="F103" s="47">
        <v>804</v>
      </c>
      <c r="G103" s="47">
        <v>743</v>
      </c>
    </row>
    <row r="104" spans="1:7" s="46" customFormat="1" ht="15.75" customHeight="1">
      <c r="A104" s="26"/>
      <c r="B104" s="43" t="s">
        <v>192</v>
      </c>
      <c r="C104" s="44">
        <v>346</v>
      </c>
      <c r="D104" s="47"/>
      <c r="E104" s="47"/>
      <c r="F104" s="47">
        <v>271</v>
      </c>
      <c r="G104" s="47">
        <v>75</v>
      </c>
    </row>
    <row r="105" spans="1:7" s="46" customFormat="1" ht="15.75" customHeight="1">
      <c r="A105" s="26">
        <v>2</v>
      </c>
      <c r="B105" s="50" t="s">
        <v>197</v>
      </c>
      <c r="C105" s="60">
        <v>5070</v>
      </c>
      <c r="D105" s="42">
        <v>0</v>
      </c>
      <c r="E105" s="42">
        <v>0</v>
      </c>
      <c r="F105" s="42">
        <v>1609</v>
      </c>
      <c r="G105" s="42">
        <v>3461</v>
      </c>
    </row>
    <row r="106" spans="1:7" s="46" customFormat="1" ht="15.75" customHeight="1">
      <c r="A106" s="26"/>
      <c r="B106" s="43" t="s">
        <v>191</v>
      </c>
      <c r="C106" s="44">
        <v>4057</v>
      </c>
      <c r="D106" s="47"/>
      <c r="E106" s="47"/>
      <c r="F106" s="47">
        <v>1282</v>
      </c>
      <c r="G106" s="47">
        <v>2775</v>
      </c>
    </row>
    <row r="107" spans="1:7" s="46" customFormat="1" ht="15.75" customHeight="1">
      <c r="A107" s="26"/>
      <c r="B107" s="43" t="s">
        <v>192</v>
      </c>
      <c r="C107" s="51">
        <v>1013</v>
      </c>
      <c r="D107" s="47"/>
      <c r="E107" s="47"/>
      <c r="F107" s="47">
        <v>327</v>
      </c>
      <c r="G107" s="47">
        <v>686</v>
      </c>
    </row>
    <row r="108" spans="1:7" s="46" customFormat="1" ht="15.75" customHeight="1">
      <c r="A108" s="26">
        <v>2</v>
      </c>
      <c r="B108" s="50" t="s">
        <v>205</v>
      </c>
      <c r="C108" s="60">
        <v>6</v>
      </c>
      <c r="D108" s="42">
        <v>0</v>
      </c>
      <c r="E108" s="42">
        <v>0</v>
      </c>
      <c r="F108" s="42">
        <v>5</v>
      </c>
      <c r="G108" s="42">
        <v>1</v>
      </c>
    </row>
    <row r="109" spans="1:7" s="46" customFormat="1" ht="15.75" customHeight="1">
      <c r="A109" s="26"/>
      <c r="B109" s="43" t="s">
        <v>191</v>
      </c>
      <c r="C109" s="44">
        <v>4</v>
      </c>
      <c r="D109" s="47"/>
      <c r="E109" s="47"/>
      <c r="F109" s="47">
        <v>3</v>
      </c>
      <c r="G109" s="47">
        <v>1</v>
      </c>
    </row>
    <row r="110" spans="1:7" s="46" customFormat="1" ht="15.75" customHeight="1">
      <c r="A110" s="26"/>
      <c r="B110" s="43" t="s">
        <v>192</v>
      </c>
      <c r="C110" s="51">
        <v>2</v>
      </c>
      <c r="D110" s="47"/>
      <c r="E110" s="47"/>
      <c r="F110" s="47">
        <v>2</v>
      </c>
      <c r="G110" s="47">
        <v>0</v>
      </c>
    </row>
    <row r="111" spans="1:7" s="25" customFormat="1" ht="39" customHeight="1">
      <c r="A111" s="26">
        <v>1</v>
      </c>
      <c r="B111" s="59" t="s">
        <v>207</v>
      </c>
      <c r="C111" s="35">
        <v>935</v>
      </c>
      <c r="D111" s="35">
        <v>62</v>
      </c>
      <c r="E111" s="35">
        <v>49</v>
      </c>
      <c r="F111" s="35">
        <v>259</v>
      </c>
      <c r="G111" s="35">
        <v>565</v>
      </c>
    </row>
    <row r="112" spans="1:7" s="48" customFormat="1" ht="17.100000000000001" customHeight="1">
      <c r="A112" s="26">
        <v>2</v>
      </c>
      <c r="B112" s="50" t="s">
        <v>190</v>
      </c>
      <c r="C112" s="42">
        <v>935</v>
      </c>
      <c r="D112" s="42">
        <v>62</v>
      </c>
      <c r="E112" s="42">
        <v>49</v>
      </c>
      <c r="F112" s="42">
        <v>259</v>
      </c>
      <c r="G112" s="42">
        <v>565</v>
      </c>
    </row>
    <row r="113" spans="1:7" s="46" customFormat="1" ht="15.75" customHeight="1">
      <c r="A113" s="26"/>
      <c r="B113" s="43" t="s">
        <v>191</v>
      </c>
      <c r="C113" s="44">
        <v>885</v>
      </c>
      <c r="D113" s="47">
        <v>56</v>
      </c>
      <c r="E113" s="47">
        <v>48</v>
      </c>
      <c r="F113" s="47">
        <v>246</v>
      </c>
      <c r="G113" s="47">
        <v>535</v>
      </c>
    </row>
    <row r="114" spans="1:7" s="46" customFormat="1" ht="15.75" customHeight="1">
      <c r="A114" s="26"/>
      <c r="B114" s="43" t="s">
        <v>192</v>
      </c>
      <c r="C114" s="44">
        <v>50</v>
      </c>
      <c r="D114" s="47">
        <v>6</v>
      </c>
      <c r="E114" s="47">
        <v>1</v>
      </c>
      <c r="F114" s="47">
        <v>13</v>
      </c>
      <c r="G114" s="47">
        <v>30</v>
      </c>
    </row>
    <row r="115" spans="1:7" s="25" customFormat="1" ht="30" customHeight="1">
      <c r="A115" s="26">
        <v>1</v>
      </c>
      <c r="B115" s="39" t="s">
        <v>181</v>
      </c>
      <c r="C115" s="35">
        <v>26023</v>
      </c>
      <c r="D115" s="35">
        <v>611</v>
      </c>
      <c r="E115" s="35">
        <v>1083</v>
      </c>
      <c r="F115" s="35">
        <v>12610</v>
      </c>
      <c r="G115" s="35">
        <v>11719</v>
      </c>
    </row>
    <row r="116" spans="1:7" s="48" customFormat="1" ht="17.100000000000001" customHeight="1">
      <c r="A116" s="26">
        <v>2</v>
      </c>
      <c r="B116" s="50" t="s">
        <v>190</v>
      </c>
      <c r="C116" s="42">
        <v>22823</v>
      </c>
      <c r="D116" s="42">
        <v>148</v>
      </c>
      <c r="E116" s="42">
        <v>549</v>
      </c>
      <c r="F116" s="42">
        <v>11488</v>
      </c>
      <c r="G116" s="42">
        <v>10638</v>
      </c>
    </row>
    <row r="117" spans="1:7" s="46" customFormat="1" ht="15.75" customHeight="1">
      <c r="A117" s="26"/>
      <c r="B117" s="43" t="s">
        <v>191</v>
      </c>
      <c r="C117" s="44">
        <v>15301</v>
      </c>
      <c r="D117" s="47">
        <v>14</v>
      </c>
      <c r="E117" s="47">
        <v>50</v>
      </c>
      <c r="F117" s="47">
        <v>7555</v>
      </c>
      <c r="G117" s="47">
        <v>7682</v>
      </c>
    </row>
    <row r="118" spans="1:7" s="46" customFormat="1" ht="15.75" customHeight="1">
      <c r="A118" s="26"/>
      <c r="B118" s="43" t="s">
        <v>192</v>
      </c>
      <c r="C118" s="44">
        <v>7522</v>
      </c>
      <c r="D118" s="47">
        <v>134</v>
      </c>
      <c r="E118" s="47">
        <v>499</v>
      </c>
      <c r="F118" s="47">
        <v>3933</v>
      </c>
      <c r="G118" s="47">
        <v>2956</v>
      </c>
    </row>
    <row r="119" spans="1:7" s="46" customFormat="1" ht="15.75" customHeight="1">
      <c r="A119" s="26">
        <v>2</v>
      </c>
      <c r="B119" s="50" t="s">
        <v>197</v>
      </c>
      <c r="C119" s="60">
        <v>3200</v>
      </c>
      <c r="D119" s="42">
        <v>463</v>
      </c>
      <c r="E119" s="42">
        <v>534</v>
      </c>
      <c r="F119" s="42">
        <v>1122</v>
      </c>
      <c r="G119" s="42">
        <v>1081</v>
      </c>
    </row>
    <row r="120" spans="1:7" s="46" customFormat="1" ht="15.75" customHeight="1">
      <c r="A120" s="26"/>
      <c r="B120" s="43" t="s">
        <v>191</v>
      </c>
      <c r="C120" s="44">
        <v>2</v>
      </c>
      <c r="D120" s="47">
        <v>2</v>
      </c>
      <c r="E120" s="47"/>
      <c r="F120" s="47"/>
      <c r="G120" s="47"/>
    </row>
    <row r="121" spans="1:7" s="46" customFormat="1" ht="15.75" customHeight="1">
      <c r="A121" s="26"/>
      <c r="B121" s="43" t="s">
        <v>192</v>
      </c>
      <c r="C121" s="51">
        <v>3198</v>
      </c>
      <c r="D121" s="47">
        <v>461</v>
      </c>
      <c r="E121" s="47">
        <v>534</v>
      </c>
      <c r="F121" s="47">
        <v>1122</v>
      </c>
      <c r="G121" s="47">
        <v>1081</v>
      </c>
    </row>
    <row r="122" spans="1:7" s="55" customFormat="1" ht="19.5" customHeight="1">
      <c r="A122" s="26">
        <v>3</v>
      </c>
      <c r="B122" s="39" t="s">
        <v>208</v>
      </c>
      <c r="C122" s="56">
        <v>54841</v>
      </c>
      <c r="D122" s="56">
        <v>5615</v>
      </c>
      <c r="E122" s="56">
        <v>6517</v>
      </c>
      <c r="F122" s="56">
        <v>20448</v>
      </c>
      <c r="G122" s="56">
        <v>22261</v>
      </c>
    </row>
    <row r="123" spans="1:7" s="55" customFormat="1" ht="19.5" customHeight="1">
      <c r="A123" s="26">
        <v>3</v>
      </c>
      <c r="B123" s="39" t="s">
        <v>209</v>
      </c>
      <c r="C123" s="56">
        <v>31321</v>
      </c>
      <c r="D123" s="56">
        <v>4911</v>
      </c>
      <c r="E123" s="56">
        <v>6688</v>
      </c>
      <c r="F123" s="56">
        <v>7848</v>
      </c>
      <c r="G123" s="56">
        <v>11874</v>
      </c>
    </row>
    <row r="124" spans="1:7" s="55" customFormat="1" ht="19.5" customHeight="1">
      <c r="A124" s="26">
        <v>3</v>
      </c>
      <c r="B124" s="39" t="s">
        <v>210</v>
      </c>
      <c r="C124" s="62">
        <v>1270</v>
      </c>
      <c r="D124" s="56">
        <v>300</v>
      </c>
      <c r="E124" s="56">
        <v>212</v>
      </c>
      <c r="F124" s="56">
        <v>442</v>
      </c>
      <c r="G124" s="56">
        <v>316</v>
      </c>
    </row>
    <row r="125" spans="1:7" s="25" customFormat="1" ht="13.5" customHeight="1">
      <c r="A125" s="26"/>
      <c r="C125" s="24"/>
      <c r="D125" s="63"/>
      <c r="E125" s="63"/>
      <c r="F125" s="63"/>
      <c r="G125" s="63"/>
    </row>
    <row r="126" spans="1:7" s="25" customFormat="1" ht="17.25" customHeight="1">
      <c r="A126" s="26"/>
      <c r="C126" s="23"/>
      <c r="D126" s="64"/>
      <c r="E126" s="64"/>
      <c r="F126" s="64"/>
      <c r="G126" s="64"/>
    </row>
    <row r="127" spans="1:7">
      <c r="B127" s="68"/>
      <c r="C127" s="69"/>
    </row>
    <row r="128" spans="1:7">
      <c r="B128" s="65" t="s">
        <v>211</v>
      </c>
      <c r="C128" s="72">
        <v>276</v>
      </c>
    </row>
    <row r="129" spans="1:7">
      <c r="B129" s="73" t="s">
        <v>184</v>
      </c>
      <c r="C129" s="72">
        <v>55117</v>
      </c>
    </row>
    <row r="130" spans="1:7">
      <c r="B130" s="66"/>
    </row>
    <row r="131" spans="1:7" s="70" customFormat="1" ht="15.75" thickBot="1">
      <c r="A131" s="67"/>
      <c r="B131" s="66"/>
      <c r="C131" s="67"/>
    </row>
    <row r="132" spans="1:7" ht="26.25" customHeight="1" thickBot="1">
      <c r="B132" s="74" t="s">
        <v>212</v>
      </c>
      <c r="C132" s="75">
        <v>55117</v>
      </c>
    </row>
    <row r="133" spans="1:7">
      <c r="C133" s="71">
        <v>0</v>
      </c>
    </row>
    <row r="134" spans="1:7">
      <c r="C134" s="71"/>
      <c r="D134" s="67"/>
      <c r="E134" s="67"/>
      <c r="F134" s="67"/>
      <c r="G134" s="67"/>
    </row>
    <row r="135" spans="1:7">
      <c r="B135" s="65" t="s">
        <v>213</v>
      </c>
      <c r="C135" s="72">
        <v>21</v>
      </c>
      <c r="D135" s="67"/>
      <c r="E135" s="67"/>
      <c r="F135" s="67"/>
      <c r="G135" s="67"/>
    </row>
    <row r="136" spans="1:7" ht="15.75" thickBot="1">
      <c r="B136" s="73" t="s">
        <v>184</v>
      </c>
      <c r="C136" s="72">
        <v>31342</v>
      </c>
      <c r="D136" s="67"/>
      <c r="E136" s="67"/>
      <c r="F136" s="67"/>
      <c r="G136" s="67"/>
    </row>
    <row r="137" spans="1:7" ht="25.5" customHeight="1" thickBot="1">
      <c r="B137" s="74" t="s">
        <v>214</v>
      </c>
      <c r="C137" s="75">
        <v>31342</v>
      </c>
      <c r="D137" s="67"/>
      <c r="E137" s="67"/>
      <c r="F137" s="67"/>
      <c r="G137" s="67"/>
    </row>
    <row r="138" spans="1:7">
      <c r="C138" s="71">
        <v>0</v>
      </c>
      <c r="D138" s="67"/>
      <c r="E138" s="67"/>
      <c r="F138" s="67"/>
      <c r="G138" s="67"/>
    </row>
    <row r="139" spans="1:7">
      <c r="B139" s="76"/>
      <c r="D139" s="67"/>
      <c r="E139" s="67"/>
      <c r="F139" s="67"/>
      <c r="G139" s="67"/>
    </row>
  </sheetData>
  <autoFilter ref="A4:G126"/>
  <mergeCells count="1">
    <mergeCell ref="B2:C2"/>
  </mergeCells>
  <conditionalFormatting sqref="A1:XFD1048576">
    <cfRule type="expression" dxfId="816" priority="2190">
      <formula>$A1=3</formula>
    </cfRule>
    <cfRule type="expression" dxfId="815" priority="2191">
      <formula>$A1=2</formula>
    </cfRule>
    <cfRule type="expression" dxfId="814" priority="2192">
      <formula>$A1=1</formula>
    </cfRule>
  </conditionalFormatting>
  <conditionalFormatting sqref="D58:F63 G62:G63">
    <cfRule type="expression" dxfId="813" priority="2178">
      <formula>#REF!=3</formula>
    </cfRule>
    <cfRule type="expression" dxfId="812" priority="2179">
      <formula>#REF!=2</formula>
    </cfRule>
    <cfRule type="expression" dxfId="811" priority="2180">
      <formula>#REF!=1</formula>
    </cfRule>
  </conditionalFormatting>
  <conditionalFormatting sqref="B128:B132 B135:B137">
    <cfRule type="expression" dxfId="810" priority="2174">
      <formula>#REF!=4</formula>
    </cfRule>
    <cfRule type="expression" dxfId="809" priority="2175">
      <formula>#REF!=3</formula>
    </cfRule>
    <cfRule type="expression" dxfId="808" priority="2176">
      <formula>#REF!=2</formula>
    </cfRule>
    <cfRule type="expression" dxfId="807" priority="2177">
      <formula>#REF!=1</formula>
    </cfRule>
  </conditionalFormatting>
  <conditionalFormatting sqref="D99:G114">
    <cfRule type="expression" dxfId="806" priority="2171">
      <formula>$A99=3</formula>
    </cfRule>
    <cfRule type="expression" dxfId="805" priority="2172">
      <formula>$A99=2</formula>
    </cfRule>
    <cfRule type="expression" dxfId="804" priority="2173">
      <formula>$A99=1</formula>
    </cfRule>
  </conditionalFormatting>
  <conditionalFormatting sqref="D96:G96">
    <cfRule type="expression" dxfId="803" priority="2168">
      <formula>$A96=3</formula>
    </cfRule>
    <cfRule type="expression" dxfId="802" priority="2169">
      <formula>$A96=2</formula>
    </cfRule>
    <cfRule type="expression" dxfId="801" priority="2170">
      <formula>$A96=1</formula>
    </cfRule>
  </conditionalFormatting>
  <conditionalFormatting sqref="D97:G97">
    <cfRule type="expression" dxfId="800" priority="2165">
      <formula>$A97=3</formula>
    </cfRule>
    <cfRule type="expression" dxfId="799" priority="2166">
      <formula>$A97=2</formula>
    </cfRule>
    <cfRule type="expression" dxfId="798" priority="2167">
      <formula>$A97=1</formula>
    </cfRule>
  </conditionalFormatting>
  <conditionalFormatting sqref="D93:G93">
    <cfRule type="expression" dxfId="797" priority="2162">
      <formula>$A93=3</formula>
    </cfRule>
    <cfRule type="expression" dxfId="796" priority="2163">
      <formula>$A93=2</formula>
    </cfRule>
    <cfRule type="expression" dxfId="795" priority="2164">
      <formula>$A93=1</formula>
    </cfRule>
  </conditionalFormatting>
  <conditionalFormatting sqref="D94:G94">
    <cfRule type="expression" dxfId="794" priority="2159">
      <formula>$A94=3</formula>
    </cfRule>
    <cfRule type="expression" dxfId="793" priority="2160">
      <formula>$A94=2</formula>
    </cfRule>
    <cfRule type="expression" dxfId="792" priority="2161">
      <formula>$A94=1</formula>
    </cfRule>
  </conditionalFormatting>
  <conditionalFormatting sqref="D84:G84">
    <cfRule type="expression" dxfId="791" priority="2156">
      <formula>$A84=3</formula>
    </cfRule>
    <cfRule type="expression" dxfId="790" priority="2157">
      <formula>$A84=2</formula>
    </cfRule>
    <cfRule type="expression" dxfId="789" priority="2158">
      <formula>$A84=1</formula>
    </cfRule>
  </conditionalFormatting>
  <conditionalFormatting sqref="D85:G85">
    <cfRule type="expression" dxfId="788" priority="2153">
      <formula>$A85=3</formula>
    </cfRule>
    <cfRule type="expression" dxfId="787" priority="2154">
      <formula>$A85=2</formula>
    </cfRule>
    <cfRule type="expression" dxfId="786" priority="2155">
      <formula>$A85=1</formula>
    </cfRule>
  </conditionalFormatting>
  <conditionalFormatting sqref="D81:G81">
    <cfRule type="expression" dxfId="785" priority="2150">
      <formula>$A81=3</formula>
    </cfRule>
    <cfRule type="expression" dxfId="784" priority="2151">
      <formula>$A81=2</formula>
    </cfRule>
    <cfRule type="expression" dxfId="783" priority="2152">
      <formula>$A81=1</formula>
    </cfRule>
  </conditionalFormatting>
  <conditionalFormatting sqref="D82:G82">
    <cfRule type="expression" dxfId="782" priority="2147">
      <formula>$A82=3</formula>
    </cfRule>
    <cfRule type="expression" dxfId="781" priority="2148">
      <formula>$A82=2</formula>
    </cfRule>
    <cfRule type="expression" dxfId="780" priority="2149">
      <formula>$A82=1</formula>
    </cfRule>
  </conditionalFormatting>
  <conditionalFormatting sqref="D77:G77">
    <cfRule type="expression" dxfId="779" priority="2144">
      <formula>$A77=3</formula>
    </cfRule>
    <cfRule type="expression" dxfId="778" priority="2145">
      <formula>$A77=2</formula>
    </cfRule>
    <cfRule type="expression" dxfId="777" priority="2146">
      <formula>$A77=1</formula>
    </cfRule>
  </conditionalFormatting>
  <conditionalFormatting sqref="D78:G78">
    <cfRule type="expression" dxfId="776" priority="2141">
      <formula>$A78=3</formula>
    </cfRule>
    <cfRule type="expression" dxfId="775" priority="2142">
      <formula>$A78=2</formula>
    </cfRule>
    <cfRule type="expression" dxfId="774" priority="2143">
      <formula>$A78=1</formula>
    </cfRule>
  </conditionalFormatting>
  <conditionalFormatting sqref="D73:G73">
    <cfRule type="expression" dxfId="773" priority="2138">
      <formula>$A73=3</formula>
    </cfRule>
    <cfRule type="expression" dxfId="772" priority="2139">
      <formula>$A73=2</formula>
    </cfRule>
    <cfRule type="expression" dxfId="771" priority="2140">
      <formula>$A73=1</formula>
    </cfRule>
  </conditionalFormatting>
  <conditionalFormatting sqref="D74:G74">
    <cfRule type="expression" dxfId="770" priority="2135">
      <formula>$A74=3</formula>
    </cfRule>
    <cfRule type="expression" dxfId="769" priority="2136">
      <formula>$A74=2</formula>
    </cfRule>
    <cfRule type="expression" dxfId="768" priority="2137">
      <formula>$A74=1</formula>
    </cfRule>
  </conditionalFormatting>
  <conditionalFormatting sqref="D69:G69">
    <cfRule type="expression" dxfId="767" priority="2132">
      <formula>$A69=3</formula>
    </cfRule>
    <cfRule type="expression" dxfId="766" priority="2133">
      <formula>$A69=2</formula>
    </cfRule>
    <cfRule type="expression" dxfId="765" priority="2134">
      <formula>$A69=1</formula>
    </cfRule>
  </conditionalFormatting>
  <conditionalFormatting sqref="D70:G70">
    <cfRule type="expression" dxfId="764" priority="2129">
      <formula>$A70=3</formula>
    </cfRule>
    <cfRule type="expression" dxfId="763" priority="2130">
      <formula>$A70=2</formula>
    </cfRule>
    <cfRule type="expression" dxfId="762" priority="2131">
      <formula>$A70=1</formula>
    </cfRule>
  </conditionalFormatting>
  <conditionalFormatting sqref="D66:G66">
    <cfRule type="expression" dxfId="761" priority="2126">
      <formula>$A66=3</formula>
    </cfRule>
    <cfRule type="expression" dxfId="760" priority="2127">
      <formula>$A66=2</formula>
    </cfRule>
    <cfRule type="expression" dxfId="759" priority="2128">
      <formula>$A66=1</formula>
    </cfRule>
  </conditionalFormatting>
  <conditionalFormatting sqref="D67:G67">
    <cfRule type="expression" dxfId="758" priority="2123">
      <formula>$A67=3</formula>
    </cfRule>
    <cfRule type="expression" dxfId="757" priority="2124">
      <formula>$A67=2</formula>
    </cfRule>
    <cfRule type="expression" dxfId="756" priority="2125">
      <formula>$A67=1</formula>
    </cfRule>
  </conditionalFormatting>
  <conditionalFormatting sqref="D62:G62">
    <cfRule type="expression" dxfId="755" priority="2120">
      <formula>$A62=3</formula>
    </cfRule>
    <cfRule type="expression" dxfId="754" priority="2121">
      <formula>$A62=2</formula>
    </cfRule>
    <cfRule type="expression" dxfId="753" priority="2122">
      <formula>$A62=1</formula>
    </cfRule>
  </conditionalFormatting>
  <conditionalFormatting sqref="D63:G63">
    <cfRule type="expression" dxfId="752" priority="2117">
      <formula>$A63=3</formula>
    </cfRule>
    <cfRule type="expression" dxfId="751" priority="2118">
      <formula>$A63=2</formula>
    </cfRule>
    <cfRule type="expression" dxfId="750" priority="2119">
      <formula>$A63=1</formula>
    </cfRule>
  </conditionalFormatting>
  <conditionalFormatting sqref="D58:G58">
    <cfRule type="expression" dxfId="749" priority="2114">
      <formula>$A58=3</formula>
    </cfRule>
    <cfRule type="expression" dxfId="748" priority="2115">
      <formula>$A58=2</formula>
    </cfRule>
    <cfRule type="expression" dxfId="747" priority="2116">
      <formula>$A58=1</formula>
    </cfRule>
  </conditionalFormatting>
  <conditionalFormatting sqref="D59:G59">
    <cfRule type="expression" dxfId="746" priority="2111">
      <formula>$A59=3</formula>
    </cfRule>
    <cfRule type="expression" dxfId="745" priority="2112">
      <formula>$A59=2</formula>
    </cfRule>
    <cfRule type="expression" dxfId="744" priority="2113">
      <formula>$A59=1</formula>
    </cfRule>
  </conditionalFormatting>
  <conditionalFormatting sqref="D55:G55">
    <cfRule type="expression" dxfId="743" priority="2108">
      <formula>$A55=3</formula>
    </cfRule>
    <cfRule type="expression" dxfId="742" priority="2109">
      <formula>$A55=2</formula>
    </cfRule>
    <cfRule type="expression" dxfId="741" priority="2110">
      <formula>$A55=1</formula>
    </cfRule>
  </conditionalFormatting>
  <conditionalFormatting sqref="D56:G56">
    <cfRule type="expression" dxfId="740" priority="2105">
      <formula>$A56=3</formula>
    </cfRule>
    <cfRule type="expression" dxfId="739" priority="2106">
      <formula>$A56=2</formula>
    </cfRule>
    <cfRule type="expression" dxfId="738" priority="2107">
      <formula>$A56=1</formula>
    </cfRule>
  </conditionalFormatting>
  <conditionalFormatting sqref="D51:G51">
    <cfRule type="expression" dxfId="737" priority="2102">
      <formula>$A51=3</formula>
    </cfRule>
    <cfRule type="expression" dxfId="736" priority="2103">
      <formula>$A51=2</formula>
    </cfRule>
    <cfRule type="expression" dxfId="735" priority="2104">
      <formula>$A51=1</formula>
    </cfRule>
  </conditionalFormatting>
  <conditionalFormatting sqref="D52:G52">
    <cfRule type="expression" dxfId="734" priority="2099">
      <formula>$A52=3</formula>
    </cfRule>
    <cfRule type="expression" dxfId="733" priority="2100">
      <formula>$A52=2</formula>
    </cfRule>
    <cfRule type="expression" dxfId="732" priority="2101">
      <formula>$A52=1</formula>
    </cfRule>
  </conditionalFormatting>
  <conditionalFormatting sqref="D47:G47">
    <cfRule type="expression" dxfId="731" priority="2096">
      <formula>$A47=3</formula>
    </cfRule>
    <cfRule type="expression" dxfId="730" priority="2097">
      <formula>$A47=2</formula>
    </cfRule>
    <cfRule type="expression" dxfId="729" priority="2098">
      <formula>$A47=1</formula>
    </cfRule>
  </conditionalFormatting>
  <conditionalFormatting sqref="D48:G48">
    <cfRule type="expression" dxfId="728" priority="2093">
      <formula>$A48=3</formula>
    </cfRule>
    <cfRule type="expression" dxfId="727" priority="2094">
      <formula>$A48=2</formula>
    </cfRule>
    <cfRule type="expression" dxfId="726" priority="2095">
      <formula>$A48=1</formula>
    </cfRule>
  </conditionalFormatting>
  <conditionalFormatting sqref="D43:G43">
    <cfRule type="expression" dxfId="725" priority="2090">
      <formula>$A43=3</formula>
    </cfRule>
    <cfRule type="expression" dxfId="724" priority="2091">
      <formula>$A43=2</formula>
    </cfRule>
    <cfRule type="expression" dxfId="723" priority="2092">
      <formula>$A43=1</formula>
    </cfRule>
  </conditionalFormatting>
  <conditionalFormatting sqref="D44:G44">
    <cfRule type="expression" dxfId="722" priority="2087">
      <formula>$A44=3</formula>
    </cfRule>
    <cfRule type="expression" dxfId="721" priority="2088">
      <formula>$A44=2</formula>
    </cfRule>
    <cfRule type="expression" dxfId="720" priority="2089">
      <formula>$A44=1</formula>
    </cfRule>
  </conditionalFormatting>
  <conditionalFormatting sqref="D35:G35">
    <cfRule type="expression" dxfId="719" priority="2084">
      <formula>$A35=3</formula>
    </cfRule>
    <cfRule type="expression" dxfId="718" priority="2085">
      <formula>$A35=2</formula>
    </cfRule>
    <cfRule type="expression" dxfId="717" priority="2086">
      <formula>$A35=1</formula>
    </cfRule>
  </conditionalFormatting>
  <conditionalFormatting sqref="D36:G36">
    <cfRule type="expression" dxfId="716" priority="2081">
      <formula>$A36=3</formula>
    </cfRule>
    <cfRule type="expression" dxfId="715" priority="2082">
      <formula>$A36=2</formula>
    </cfRule>
    <cfRule type="expression" dxfId="714" priority="2083">
      <formula>$A36=1</formula>
    </cfRule>
  </conditionalFormatting>
  <conditionalFormatting sqref="D27:G27">
    <cfRule type="expression" dxfId="713" priority="2078">
      <formula>$A27=3</formula>
    </cfRule>
    <cfRule type="expression" dxfId="712" priority="2079">
      <formula>$A27=2</formula>
    </cfRule>
    <cfRule type="expression" dxfId="711" priority="2080">
      <formula>$A27=1</formula>
    </cfRule>
  </conditionalFormatting>
  <conditionalFormatting sqref="D28:G32">
    <cfRule type="expression" dxfId="710" priority="2075">
      <formula>$A28=3</formula>
    </cfRule>
    <cfRule type="expression" dxfId="709" priority="2076">
      <formula>$A28=2</formula>
    </cfRule>
    <cfRule type="expression" dxfId="708" priority="2077">
      <formula>$A28=1</formula>
    </cfRule>
  </conditionalFormatting>
  <conditionalFormatting sqref="D23:G23">
    <cfRule type="expression" dxfId="707" priority="2072">
      <formula>$A23=3</formula>
    </cfRule>
    <cfRule type="expression" dxfId="706" priority="2073">
      <formula>$A23=2</formula>
    </cfRule>
    <cfRule type="expression" dxfId="705" priority="2074">
      <formula>$A23=1</formula>
    </cfRule>
  </conditionalFormatting>
  <conditionalFormatting sqref="D24:G24">
    <cfRule type="expression" dxfId="704" priority="2069">
      <formula>$A24=3</formula>
    </cfRule>
    <cfRule type="expression" dxfId="703" priority="2070">
      <formula>$A24=2</formula>
    </cfRule>
    <cfRule type="expression" dxfId="702" priority="2071">
      <formula>$A24=1</formula>
    </cfRule>
  </conditionalFormatting>
  <conditionalFormatting sqref="D19:G19">
    <cfRule type="expression" dxfId="701" priority="2066">
      <formula>$A19=3</formula>
    </cfRule>
    <cfRule type="expression" dxfId="700" priority="2067">
      <formula>$A19=2</formula>
    </cfRule>
    <cfRule type="expression" dxfId="699" priority="2068">
      <formula>$A19=1</formula>
    </cfRule>
  </conditionalFormatting>
  <conditionalFormatting sqref="D20:G20">
    <cfRule type="expression" dxfId="698" priority="2063">
      <formula>$A20=3</formula>
    </cfRule>
    <cfRule type="expression" dxfId="697" priority="2064">
      <formula>$A20=2</formula>
    </cfRule>
    <cfRule type="expression" dxfId="696" priority="2065">
      <formula>$A20=1</formula>
    </cfRule>
  </conditionalFormatting>
  <conditionalFormatting sqref="D15:G15">
    <cfRule type="expression" dxfId="695" priority="2060">
      <formula>$A15=3</formula>
    </cfRule>
    <cfRule type="expression" dxfId="694" priority="2061">
      <formula>$A15=2</formula>
    </cfRule>
    <cfRule type="expression" dxfId="693" priority="2062">
      <formula>$A15=1</formula>
    </cfRule>
  </conditionalFormatting>
  <conditionalFormatting sqref="D16:G16">
    <cfRule type="expression" dxfId="692" priority="2057">
      <formula>$A16=3</formula>
    </cfRule>
    <cfRule type="expression" dxfId="691" priority="2058">
      <formula>$A16=2</formula>
    </cfRule>
    <cfRule type="expression" dxfId="690" priority="2059">
      <formula>$A16=1</formula>
    </cfRule>
  </conditionalFormatting>
  <conditionalFormatting sqref="D11:G11">
    <cfRule type="expression" dxfId="689" priority="2054">
      <formula>$A11=3</formula>
    </cfRule>
    <cfRule type="expression" dxfId="688" priority="2055">
      <formula>$A11=2</formula>
    </cfRule>
    <cfRule type="expression" dxfId="687" priority="2056">
      <formula>$A11=1</formula>
    </cfRule>
  </conditionalFormatting>
  <conditionalFormatting sqref="D12:G12">
    <cfRule type="expression" dxfId="686" priority="2051">
      <formula>$A12=3</formula>
    </cfRule>
    <cfRule type="expression" dxfId="685" priority="2052">
      <formula>$A12=2</formula>
    </cfRule>
    <cfRule type="expression" dxfId="684" priority="2053">
      <formula>$A12=1</formula>
    </cfRule>
  </conditionalFormatting>
  <conditionalFormatting sqref="D7:G8">
    <cfRule type="expression" dxfId="683" priority="2048">
      <formula>$A7=3</formula>
    </cfRule>
    <cfRule type="expression" dxfId="682" priority="2049">
      <formula>$A7=2</formula>
    </cfRule>
    <cfRule type="expression" dxfId="681" priority="2050">
      <formula>$A7=1</formula>
    </cfRule>
  </conditionalFormatting>
  <conditionalFormatting sqref="D8:G8">
    <cfRule type="expression" dxfId="680" priority="2045">
      <formula>$A8=3</formula>
    </cfRule>
    <cfRule type="expression" dxfId="679" priority="2046">
      <formula>$A8=2</formula>
    </cfRule>
    <cfRule type="expression" dxfId="678" priority="2047">
      <formula>$A8=1</formula>
    </cfRule>
  </conditionalFormatting>
  <conditionalFormatting sqref="D113:G113">
    <cfRule type="expression" dxfId="677" priority="2042">
      <formula>$A113=3</formula>
    </cfRule>
    <cfRule type="expression" dxfId="676" priority="2043">
      <formula>$A113=2</formula>
    </cfRule>
    <cfRule type="expression" dxfId="675" priority="2044">
      <formula>$A113=1</formula>
    </cfRule>
  </conditionalFormatting>
  <conditionalFormatting sqref="D114:G114">
    <cfRule type="expression" dxfId="674" priority="2039">
      <formula>$A114=3</formula>
    </cfRule>
    <cfRule type="expression" dxfId="673" priority="2040">
      <formula>$A114=2</formula>
    </cfRule>
    <cfRule type="expression" dxfId="672" priority="2041">
      <formula>$A114=1</formula>
    </cfRule>
  </conditionalFormatting>
  <conditionalFormatting sqref="D120:G120">
    <cfRule type="expression" dxfId="671" priority="2029">
      <formula>$A120=3</formula>
    </cfRule>
    <cfRule type="expression" dxfId="670" priority="2030">
      <formula>$A120=2</formula>
    </cfRule>
    <cfRule type="expression" dxfId="669" priority="2031">
      <formula>$A120=1</formula>
    </cfRule>
  </conditionalFormatting>
  <conditionalFormatting sqref="D121:G121">
    <cfRule type="expression" dxfId="668" priority="2026">
      <formula>$A121=3</formula>
    </cfRule>
    <cfRule type="expression" dxfId="667" priority="2027">
      <formula>$A121=2</formula>
    </cfRule>
    <cfRule type="expression" dxfId="666" priority="2028">
      <formula>$A121=1</formula>
    </cfRule>
  </conditionalFormatting>
  <conditionalFormatting sqref="D11:G11">
    <cfRule type="expression" dxfId="665" priority="2023">
      <formula>$A11=3</formula>
    </cfRule>
    <cfRule type="expression" dxfId="664" priority="2024">
      <formula>$A11=2</formula>
    </cfRule>
    <cfRule type="expression" dxfId="663" priority="2025">
      <formula>$A11=1</formula>
    </cfRule>
  </conditionalFormatting>
  <conditionalFormatting sqref="D12:G12">
    <cfRule type="expression" dxfId="662" priority="2020">
      <formula>$A12=3</formula>
    </cfRule>
    <cfRule type="expression" dxfId="661" priority="2021">
      <formula>$A12=2</formula>
    </cfRule>
    <cfRule type="expression" dxfId="660" priority="2022">
      <formula>$A12=1</formula>
    </cfRule>
  </conditionalFormatting>
  <conditionalFormatting sqref="E15:G16">
    <cfRule type="expression" dxfId="659" priority="2017">
      <formula>$A15=3</formula>
    </cfRule>
    <cfRule type="expression" dxfId="658" priority="2018">
      <formula>$A15=2</formula>
    </cfRule>
    <cfRule type="expression" dxfId="657" priority="2019">
      <formula>$A15=1</formula>
    </cfRule>
  </conditionalFormatting>
  <conditionalFormatting sqref="E15:G16">
    <cfRule type="expression" dxfId="656" priority="2014">
      <formula>$A15=3</formula>
    </cfRule>
    <cfRule type="expression" dxfId="655" priority="2015">
      <formula>$A15=2</formula>
    </cfRule>
    <cfRule type="expression" dxfId="654" priority="2016">
      <formula>$A15=1</formula>
    </cfRule>
  </conditionalFormatting>
  <conditionalFormatting sqref="D19:G19">
    <cfRule type="expression" dxfId="653" priority="2011">
      <formula>$A19=3</formula>
    </cfRule>
    <cfRule type="expression" dxfId="652" priority="2012">
      <formula>$A19=2</formula>
    </cfRule>
    <cfRule type="expression" dxfId="651" priority="2013">
      <formula>$A19=1</formula>
    </cfRule>
  </conditionalFormatting>
  <conditionalFormatting sqref="D19:G19">
    <cfRule type="expression" dxfId="650" priority="2008">
      <formula>$A19=3</formula>
    </cfRule>
    <cfRule type="expression" dxfId="649" priority="2009">
      <formula>$A19=2</formula>
    </cfRule>
    <cfRule type="expression" dxfId="648" priority="2010">
      <formula>$A19=1</formula>
    </cfRule>
  </conditionalFormatting>
  <conditionalFormatting sqref="D23:G24">
    <cfRule type="expression" dxfId="647" priority="2005">
      <formula>$A23=3</formula>
    </cfRule>
    <cfRule type="expression" dxfId="646" priority="2006">
      <formula>$A23=2</formula>
    </cfRule>
    <cfRule type="expression" dxfId="645" priority="2007">
      <formula>$A23=1</formula>
    </cfRule>
  </conditionalFormatting>
  <conditionalFormatting sqref="D23:G24">
    <cfRule type="expression" dxfId="644" priority="2002">
      <formula>$A23=3</formula>
    </cfRule>
    <cfRule type="expression" dxfId="643" priority="2003">
      <formula>$A23=2</formula>
    </cfRule>
    <cfRule type="expression" dxfId="642" priority="2004">
      <formula>$A23=1</formula>
    </cfRule>
  </conditionalFormatting>
  <conditionalFormatting sqref="D23:G24">
    <cfRule type="expression" dxfId="641" priority="1999">
      <formula>$A23=3</formula>
    </cfRule>
    <cfRule type="expression" dxfId="640" priority="2000">
      <formula>$A23=2</formula>
    </cfRule>
    <cfRule type="expression" dxfId="639" priority="2001">
      <formula>$A23=1</formula>
    </cfRule>
  </conditionalFormatting>
  <conditionalFormatting sqref="D27:G27">
    <cfRule type="expression" dxfId="638" priority="1996">
      <formula>$A27=3</formula>
    </cfRule>
    <cfRule type="expression" dxfId="637" priority="1997">
      <formula>$A27=2</formula>
    </cfRule>
    <cfRule type="expression" dxfId="636" priority="1998">
      <formula>$A27=1</formula>
    </cfRule>
  </conditionalFormatting>
  <conditionalFormatting sqref="D27:G27">
    <cfRule type="expression" dxfId="635" priority="1993">
      <formula>$A27=3</formula>
    </cfRule>
    <cfRule type="expression" dxfId="634" priority="1994">
      <formula>$A27=2</formula>
    </cfRule>
    <cfRule type="expression" dxfId="633" priority="1995">
      <formula>$A27=1</formula>
    </cfRule>
  </conditionalFormatting>
  <conditionalFormatting sqref="D27:G27">
    <cfRule type="expression" dxfId="632" priority="1990">
      <formula>$A27=3</formula>
    </cfRule>
    <cfRule type="expression" dxfId="631" priority="1991">
      <formula>$A27=2</formula>
    </cfRule>
    <cfRule type="expression" dxfId="630" priority="1992">
      <formula>$A27=1</formula>
    </cfRule>
  </conditionalFormatting>
  <conditionalFormatting sqref="D27:G27">
    <cfRule type="expression" dxfId="629" priority="1987">
      <formula>$A27=3</formula>
    </cfRule>
    <cfRule type="expression" dxfId="628" priority="1988">
      <formula>$A27=2</formula>
    </cfRule>
    <cfRule type="expression" dxfId="627" priority="1989">
      <formula>$A27=1</formula>
    </cfRule>
  </conditionalFormatting>
  <conditionalFormatting sqref="D39:G39">
    <cfRule type="expression" dxfId="626" priority="1984">
      <formula>$A39=3</formula>
    </cfRule>
    <cfRule type="expression" dxfId="625" priority="1985">
      <formula>$A39=2</formula>
    </cfRule>
    <cfRule type="expression" dxfId="624" priority="1986">
      <formula>$A39=1</formula>
    </cfRule>
  </conditionalFormatting>
  <conditionalFormatting sqref="D39:G39">
    <cfRule type="expression" dxfId="623" priority="1981">
      <formula>$A39=3</formula>
    </cfRule>
    <cfRule type="expression" dxfId="622" priority="1982">
      <formula>$A39=2</formula>
    </cfRule>
    <cfRule type="expression" dxfId="621" priority="1983">
      <formula>$A39=1</formula>
    </cfRule>
  </conditionalFormatting>
  <conditionalFormatting sqref="D39:G39">
    <cfRule type="expression" dxfId="620" priority="1978">
      <formula>$A39=3</formula>
    </cfRule>
    <cfRule type="expression" dxfId="619" priority="1979">
      <formula>$A39=2</formula>
    </cfRule>
    <cfRule type="expression" dxfId="618" priority="1980">
      <formula>$A39=1</formula>
    </cfRule>
  </conditionalFormatting>
  <conditionalFormatting sqref="D39:G39">
    <cfRule type="expression" dxfId="617" priority="1975">
      <formula>$A39=3</formula>
    </cfRule>
    <cfRule type="expression" dxfId="616" priority="1976">
      <formula>$A39=2</formula>
    </cfRule>
    <cfRule type="expression" dxfId="615" priority="1977">
      <formula>$A39=1</formula>
    </cfRule>
  </conditionalFormatting>
  <conditionalFormatting sqref="D39:G39">
    <cfRule type="expression" dxfId="614" priority="1972">
      <formula>$A39=3</formula>
    </cfRule>
    <cfRule type="expression" dxfId="613" priority="1973">
      <formula>$A39=2</formula>
    </cfRule>
    <cfRule type="expression" dxfId="612" priority="1974">
      <formula>$A39=1</formula>
    </cfRule>
  </conditionalFormatting>
  <conditionalFormatting sqref="D35:G36">
    <cfRule type="expression" dxfId="611" priority="1969">
      <formula>$A35=3</formula>
    </cfRule>
    <cfRule type="expression" dxfId="610" priority="1970">
      <formula>$A35=2</formula>
    </cfRule>
    <cfRule type="expression" dxfId="609" priority="1971">
      <formula>$A35=1</formula>
    </cfRule>
  </conditionalFormatting>
  <conditionalFormatting sqref="D35:G36">
    <cfRule type="expression" dxfId="608" priority="1966">
      <formula>$A35=3</formula>
    </cfRule>
    <cfRule type="expression" dxfId="607" priority="1967">
      <formula>$A35=2</formula>
    </cfRule>
    <cfRule type="expression" dxfId="606" priority="1968">
      <formula>$A35=1</formula>
    </cfRule>
  </conditionalFormatting>
  <conditionalFormatting sqref="D35:G36">
    <cfRule type="expression" dxfId="605" priority="1963">
      <formula>$A35=3</formula>
    </cfRule>
    <cfRule type="expression" dxfId="604" priority="1964">
      <formula>$A35=2</formula>
    </cfRule>
    <cfRule type="expression" dxfId="603" priority="1965">
      <formula>$A35=1</formula>
    </cfRule>
  </conditionalFormatting>
  <conditionalFormatting sqref="D35:G36">
    <cfRule type="expression" dxfId="602" priority="1960">
      <formula>$A35=3</formula>
    </cfRule>
    <cfRule type="expression" dxfId="601" priority="1961">
      <formula>$A35=2</formula>
    </cfRule>
    <cfRule type="expression" dxfId="600" priority="1962">
      <formula>$A35=1</formula>
    </cfRule>
  </conditionalFormatting>
  <conditionalFormatting sqref="D35:G36">
    <cfRule type="expression" dxfId="599" priority="1957">
      <formula>$A35=3</formula>
    </cfRule>
    <cfRule type="expression" dxfId="598" priority="1958">
      <formula>$A35=2</formula>
    </cfRule>
    <cfRule type="expression" dxfId="597" priority="1959">
      <formula>$A35=1</formula>
    </cfRule>
  </conditionalFormatting>
  <conditionalFormatting sqref="D35:D36">
    <cfRule type="expression" dxfId="596" priority="1954">
      <formula>$A35=3</formula>
    </cfRule>
    <cfRule type="expression" dxfId="595" priority="1955">
      <formula>$A35=2</formula>
    </cfRule>
    <cfRule type="expression" dxfId="594" priority="1956">
      <formula>$A35=1</formula>
    </cfRule>
  </conditionalFormatting>
  <conditionalFormatting sqref="D35:D36">
    <cfRule type="expression" dxfId="593" priority="1951">
      <formula>$A35=3</formula>
    </cfRule>
    <cfRule type="expression" dxfId="592" priority="1952">
      <formula>$A35=2</formula>
    </cfRule>
    <cfRule type="expression" dxfId="591" priority="1953">
      <formula>$A35=1</formula>
    </cfRule>
  </conditionalFormatting>
  <conditionalFormatting sqref="D35:D36">
    <cfRule type="expression" dxfId="590" priority="1948">
      <formula>$A35=3</formula>
    </cfRule>
    <cfRule type="expression" dxfId="589" priority="1949">
      <formula>$A35=2</formula>
    </cfRule>
    <cfRule type="expression" dxfId="588" priority="1950">
      <formula>$A35=1</formula>
    </cfRule>
  </conditionalFormatting>
  <conditionalFormatting sqref="D35:D36">
    <cfRule type="expression" dxfId="587" priority="1945">
      <formula>$A35=3</formula>
    </cfRule>
    <cfRule type="expression" dxfId="586" priority="1946">
      <formula>$A35=2</formula>
    </cfRule>
    <cfRule type="expression" dxfId="585" priority="1947">
      <formula>$A35=1</formula>
    </cfRule>
  </conditionalFormatting>
  <conditionalFormatting sqref="D35:D36">
    <cfRule type="expression" dxfId="584" priority="1942">
      <formula>$A35=3</formula>
    </cfRule>
    <cfRule type="expression" dxfId="583" priority="1943">
      <formula>$A35=2</formula>
    </cfRule>
    <cfRule type="expression" dxfId="582" priority="1944">
      <formula>$A35=1</formula>
    </cfRule>
  </conditionalFormatting>
  <conditionalFormatting sqref="D47:G48">
    <cfRule type="expression" dxfId="581" priority="1939">
      <formula>$A47=3</formula>
    </cfRule>
    <cfRule type="expression" dxfId="580" priority="1940">
      <formula>$A47=2</formula>
    </cfRule>
    <cfRule type="expression" dxfId="579" priority="1941">
      <formula>$A47=1</formula>
    </cfRule>
  </conditionalFormatting>
  <conditionalFormatting sqref="D47:G48">
    <cfRule type="expression" dxfId="578" priority="1936">
      <formula>$A47=3</formula>
    </cfRule>
    <cfRule type="expression" dxfId="577" priority="1937">
      <formula>$A47=2</formula>
    </cfRule>
    <cfRule type="expression" dxfId="576" priority="1938">
      <formula>$A47=1</formula>
    </cfRule>
  </conditionalFormatting>
  <conditionalFormatting sqref="D47:G48">
    <cfRule type="expression" dxfId="575" priority="1933">
      <formula>$A47=3</formula>
    </cfRule>
    <cfRule type="expression" dxfId="574" priority="1934">
      <formula>$A47=2</formula>
    </cfRule>
    <cfRule type="expression" dxfId="573" priority="1935">
      <formula>$A47=1</formula>
    </cfRule>
  </conditionalFormatting>
  <conditionalFormatting sqref="D47:G48">
    <cfRule type="expression" dxfId="572" priority="1930">
      <formula>$A47=3</formula>
    </cfRule>
    <cfRule type="expression" dxfId="571" priority="1931">
      <formula>$A47=2</formula>
    </cfRule>
    <cfRule type="expression" dxfId="570" priority="1932">
      <formula>$A47=1</formula>
    </cfRule>
  </conditionalFormatting>
  <conditionalFormatting sqref="D47:G48">
    <cfRule type="expression" dxfId="569" priority="1927">
      <formula>$A47=3</formula>
    </cfRule>
    <cfRule type="expression" dxfId="568" priority="1928">
      <formula>$A47=2</formula>
    </cfRule>
    <cfRule type="expression" dxfId="567" priority="1929">
      <formula>$A47=1</formula>
    </cfRule>
  </conditionalFormatting>
  <conditionalFormatting sqref="D43:G44">
    <cfRule type="expression" dxfId="566" priority="1924">
      <formula>$A43=3</formula>
    </cfRule>
    <cfRule type="expression" dxfId="565" priority="1925">
      <formula>$A43=2</formula>
    </cfRule>
    <cfRule type="expression" dxfId="564" priority="1926">
      <formula>$A43=1</formula>
    </cfRule>
  </conditionalFormatting>
  <conditionalFormatting sqref="D43:G44">
    <cfRule type="expression" dxfId="563" priority="1921">
      <formula>$A43=3</formula>
    </cfRule>
    <cfRule type="expression" dxfId="562" priority="1922">
      <formula>$A43=2</formula>
    </cfRule>
    <cfRule type="expression" dxfId="561" priority="1923">
      <formula>$A43=1</formula>
    </cfRule>
  </conditionalFormatting>
  <conditionalFormatting sqref="D43:G44">
    <cfRule type="expression" dxfId="560" priority="1918">
      <formula>$A43=3</formula>
    </cfRule>
    <cfRule type="expression" dxfId="559" priority="1919">
      <formula>$A43=2</formula>
    </cfRule>
    <cfRule type="expression" dxfId="558" priority="1920">
      <formula>$A43=1</formula>
    </cfRule>
  </conditionalFormatting>
  <conditionalFormatting sqref="D43:G44">
    <cfRule type="expression" dxfId="557" priority="1915">
      <formula>$A43=3</formula>
    </cfRule>
    <cfRule type="expression" dxfId="556" priority="1916">
      <formula>$A43=2</formula>
    </cfRule>
    <cfRule type="expression" dxfId="555" priority="1917">
      <formula>$A43=1</formula>
    </cfRule>
  </conditionalFormatting>
  <conditionalFormatting sqref="D43:G44">
    <cfRule type="expression" dxfId="554" priority="1912">
      <formula>$A43=3</formula>
    </cfRule>
    <cfRule type="expression" dxfId="553" priority="1913">
      <formula>$A43=2</formula>
    </cfRule>
    <cfRule type="expression" dxfId="552" priority="1914">
      <formula>$A43=1</formula>
    </cfRule>
  </conditionalFormatting>
  <conditionalFormatting sqref="D73:G74">
    <cfRule type="expression" dxfId="551" priority="1909">
      <formula>$A73=3</formula>
    </cfRule>
    <cfRule type="expression" dxfId="550" priority="1910">
      <formula>$A73=2</formula>
    </cfRule>
    <cfRule type="expression" dxfId="549" priority="1911">
      <formula>$A73=1</formula>
    </cfRule>
  </conditionalFormatting>
  <conditionalFormatting sqref="D73:G74">
    <cfRule type="expression" dxfId="548" priority="1906">
      <formula>$A73=3</formula>
    </cfRule>
    <cfRule type="expression" dxfId="547" priority="1907">
      <formula>$A73=2</formula>
    </cfRule>
    <cfRule type="expression" dxfId="546" priority="1908">
      <formula>$A73=1</formula>
    </cfRule>
  </conditionalFormatting>
  <conditionalFormatting sqref="D73:G74">
    <cfRule type="expression" dxfId="545" priority="1903">
      <formula>$A73=3</formula>
    </cfRule>
    <cfRule type="expression" dxfId="544" priority="1904">
      <formula>$A73=2</formula>
    </cfRule>
    <cfRule type="expression" dxfId="543" priority="1905">
      <formula>$A73=1</formula>
    </cfRule>
  </conditionalFormatting>
  <conditionalFormatting sqref="D73:G74">
    <cfRule type="expression" dxfId="542" priority="1900">
      <formula>$A73=3</formula>
    </cfRule>
    <cfRule type="expression" dxfId="541" priority="1901">
      <formula>$A73=2</formula>
    </cfRule>
    <cfRule type="expression" dxfId="540" priority="1902">
      <formula>$A73=1</formula>
    </cfRule>
  </conditionalFormatting>
  <conditionalFormatting sqref="D73:G74">
    <cfRule type="expression" dxfId="539" priority="1897">
      <formula>$A73=3</formula>
    </cfRule>
    <cfRule type="expression" dxfId="538" priority="1898">
      <formula>$A73=2</formula>
    </cfRule>
    <cfRule type="expression" dxfId="537" priority="1899">
      <formula>$A73=1</formula>
    </cfRule>
  </conditionalFormatting>
  <conditionalFormatting sqref="D73:G74">
    <cfRule type="expression" dxfId="536" priority="1894">
      <formula>$A73=3</formula>
    </cfRule>
    <cfRule type="expression" dxfId="535" priority="1895">
      <formula>$A73=2</formula>
    </cfRule>
    <cfRule type="expression" dxfId="534" priority="1896">
      <formula>$A73=1</formula>
    </cfRule>
  </conditionalFormatting>
  <conditionalFormatting sqref="D55:G55">
    <cfRule type="expression" dxfId="533" priority="1891">
      <formula>$A55=3</formula>
    </cfRule>
    <cfRule type="expression" dxfId="532" priority="1892">
      <formula>$A55=2</formula>
    </cfRule>
    <cfRule type="expression" dxfId="531" priority="1893">
      <formula>$A55=1</formula>
    </cfRule>
  </conditionalFormatting>
  <conditionalFormatting sqref="D55:G55">
    <cfRule type="expression" dxfId="530" priority="1888">
      <formula>$A55=3</formula>
    </cfRule>
    <cfRule type="expression" dxfId="529" priority="1889">
      <formula>$A55=2</formula>
    </cfRule>
    <cfRule type="expression" dxfId="528" priority="1890">
      <formula>$A55=1</formula>
    </cfRule>
  </conditionalFormatting>
  <conditionalFormatting sqref="D55:G55">
    <cfRule type="expression" dxfId="527" priority="1885">
      <formula>$A55=3</formula>
    </cfRule>
    <cfRule type="expression" dxfId="526" priority="1886">
      <formula>$A55=2</formula>
    </cfRule>
    <cfRule type="expression" dxfId="525" priority="1887">
      <formula>$A55=1</formula>
    </cfRule>
  </conditionalFormatting>
  <conditionalFormatting sqref="D55:G55">
    <cfRule type="expression" dxfId="524" priority="1882">
      <formula>$A55=3</formula>
    </cfRule>
    <cfRule type="expression" dxfId="523" priority="1883">
      <formula>$A55=2</formula>
    </cfRule>
    <cfRule type="expression" dxfId="522" priority="1884">
      <formula>$A55=1</formula>
    </cfRule>
  </conditionalFormatting>
  <conditionalFormatting sqref="D55:G55">
    <cfRule type="expression" dxfId="521" priority="1879">
      <formula>$A55=3</formula>
    </cfRule>
    <cfRule type="expression" dxfId="520" priority="1880">
      <formula>$A55=2</formula>
    </cfRule>
    <cfRule type="expression" dxfId="519" priority="1881">
      <formula>$A55=1</formula>
    </cfRule>
  </conditionalFormatting>
  <conditionalFormatting sqref="D55:G55">
    <cfRule type="expression" dxfId="518" priority="1876">
      <formula>$A55=3</formula>
    </cfRule>
    <cfRule type="expression" dxfId="517" priority="1877">
      <formula>$A55=2</formula>
    </cfRule>
    <cfRule type="expression" dxfId="516" priority="1878">
      <formula>$A55=1</formula>
    </cfRule>
  </conditionalFormatting>
  <conditionalFormatting sqref="D56:G56">
    <cfRule type="expression" dxfId="515" priority="1873">
      <formula>$A56=3</formula>
    </cfRule>
    <cfRule type="expression" dxfId="514" priority="1874">
      <formula>$A56=2</formula>
    </cfRule>
    <cfRule type="expression" dxfId="513" priority="1875">
      <formula>$A56=1</formula>
    </cfRule>
  </conditionalFormatting>
  <conditionalFormatting sqref="D56:G56">
    <cfRule type="expression" dxfId="512" priority="1870">
      <formula>$A56=3</formula>
    </cfRule>
    <cfRule type="expression" dxfId="511" priority="1871">
      <formula>$A56=2</formula>
    </cfRule>
    <cfRule type="expression" dxfId="510" priority="1872">
      <formula>$A56=1</formula>
    </cfRule>
  </conditionalFormatting>
  <conditionalFormatting sqref="D56:G56">
    <cfRule type="expression" dxfId="509" priority="1867">
      <formula>$A56=3</formula>
    </cfRule>
    <cfRule type="expression" dxfId="508" priority="1868">
      <formula>$A56=2</formula>
    </cfRule>
    <cfRule type="expression" dxfId="507" priority="1869">
      <formula>$A56=1</formula>
    </cfRule>
  </conditionalFormatting>
  <conditionalFormatting sqref="D56:G56">
    <cfRule type="expression" dxfId="506" priority="1864">
      <formula>$A56=3</formula>
    </cfRule>
    <cfRule type="expression" dxfId="505" priority="1865">
      <formula>$A56=2</formula>
    </cfRule>
    <cfRule type="expression" dxfId="504" priority="1866">
      <formula>$A56=1</formula>
    </cfRule>
  </conditionalFormatting>
  <conditionalFormatting sqref="D56:G56">
    <cfRule type="expression" dxfId="503" priority="1861">
      <formula>$A56=3</formula>
    </cfRule>
    <cfRule type="expression" dxfId="502" priority="1862">
      <formula>$A56=2</formula>
    </cfRule>
    <cfRule type="expression" dxfId="501" priority="1863">
      <formula>$A56=1</formula>
    </cfRule>
  </conditionalFormatting>
  <conditionalFormatting sqref="D56:G56">
    <cfRule type="expression" dxfId="500" priority="1858">
      <formula>$A56=3</formula>
    </cfRule>
    <cfRule type="expression" dxfId="499" priority="1859">
      <formula>$A56=2</formula>
    </cfRule>
    <cfRule type="expression" dxfId="498" priority="1860">
      <formula>$A56=1</formula>
    </cfRule>
  </conditionalFormatting>
  <conditionalFormatting sqref="D58:G59">
    <cfRule type="expression" dxfId="497" priority="1855">
      <formula>$A58=3</formula>
    </cfRule>
    <cfRule type="expression" dxfId="496" priority="1856">
      <formula>$A58=2</formula>
    </cfRule>
    <cfRule type="expression" dxfId="495" priority="1857">
      <formula>$A58=1</formula>
    </cfRule>
  </conditionalFormatting>
  <conditionalFormatting sqref="D58:G59">
    <cfRule type="expression" dxfId="494" priority="1852">
      <formula>$A58=3</formula>
    </cfRule>
    <cfRule type="expression" dxfId="493" priority="1853">
      <formula>$A58=2</formula>
    </cfRule>
    <cfRule type="expression" dxfId="492" priority="1854">
      <formula>$A58=1</formula>
    </cfRule>
  </conditionalFormatting>
  <conditionalFormatting sqref="D58:G59">
    <cfRule type="expression" dxfId="491" priority="1849">
      <formula>$A58=3</formula>
    </cfRule>
    <cfRule type="expression" dxfId="490" priority="1850">
      <formula>$A58=2</formula>
    </cfRule>
    <cfRule type="expression" dxfId="489" priority="1851">
      <formula>$A58=1</formula>
    </cfRule>
  </conditionalFormatting>
  <conditionalFormatting sqref="D58:G59">
    <cfRule type="expression" dxfId="488" priority="1846">
      <formula>$A58=3</formula>
    </cfRule>
    <cfRule type="expression" dxfId="487" priority="1847">
      <formula>$A58=2</formula>
    </cfRule>
    <cfRule type="expression" dxfId="486" priority="1848">
      <formula>$A58=1</formula>
    </cfRule>
  </conditionalFormatting>
  <conditionalFormatting sqref="D58:G59">
    <cfRule type="expression" dxfId="485" priority="1843">
      <formula>$A58=3</formula>
    </cfRule>
    <cfRule type="expression" dxfId="484" priority="1844">
      <formula>$A58=2</formula>
    </cfRule>
    <cfRule type="expression" dxfId="483" priority="1845">
      <formula>$A58=1</formula>
    </cfRule>
  </conditionalFormatting>
  <conditionalFormatting sqref="D58:G59">
    <cfRule type="expression" dxfId="482" priority="1840">
      <formula>$A58=3</formula>
    </cfRule>
    <cfRule type="expression" dxfId="481" priority="1841">
      <formula>$A58=2</formula>
    </cfRule>
    <cfRule type="expression" dxfId="480" priority="1842">
      <formula>$A58=1</formula>
    </cfRule>
  </conditionalFormatting>
  <conditionalFormatting sqref="D77:G77">
    <cfRule type="expression" dxfId="479" priority="1837">
      <formula>$A77=3</formula>
    </cfRule>
    <cfRule type="expression" dxfId="478" priority="1838">
      <formula>$A77=2</formula>
    </cfRule>
    <cfRule type="expression" dxfId="477" priority="1839">
      <formula>$A77=1</formula>
    </cfRule>
  </conditionalFormatting>
  <conditionalFormatting sqref="D77:G77">
    <cfRule type="expression" dxfId="476" priority="1834">
      <formula>$A77=3</formula>
    </cfRule>
    <cfRule type="expression" dxfId="475" priority="1835">
      <formula>$A77=2</formula>
    </cfRule>
    <cfRule type="expression" dxfId="474" priority="1836">
      <formula>$A77=1</formula>
    </cfRule>
  </conditionalFormatting>
  <conditionalFormatting sqref="D77:G77">
    <cfRule type="expression" dxfId="473" priority="1831">
      <formula>$A77=3</formula>
    </cfRule>
    <cfRule type="expression" dxfId="472" priority="1832">
      <formula>$A77=2</formula>
    </cfRule>
    <cfRule type="expression" dxfId="471" priority="1833">
      <formula>$A77=1</formula>
    </cfRule>
  </conditionalFormatting>
  <conditionalFormatting sqref="D77:G77">
    <cfRule type="expression" dxfId="470" priority="1828">
      <formula>$A77=3</formula>
    </cfRule>
    <cfRule type="expression" dxfId="469" priority="1829">
      <formula>$A77=2</formula>
    </cfRule>
    <cfRule type="expression" dxfId="468" priority="1830">
      <formula>$A77=1</formula>
    </cfRule>
  </conditionalFormatting>
  <conditionalFormatting sqref="D77:G77">
    <cfRule type="expression" dxfId="467" priority="1825">
      <formula>$A77=3</formula>
    </cfRule>
    <cfRule type="expression" dxfId="466" priority="1826">
      <formula>$A77=2</formula>
    </cfRule>
    <cfRule type="expression" dxfId="465" priority="1827">
      <formula>$A77=1</formula>
    </cfRule>
  </conditionalFormatting>
  <conditionalFormatting sqref="D77:G77">
    <cfRule type="expression" dxfId="464" priority="1822">
      <formula>$A77=3</formula>
    </cfRule>
    <cfRule type="expression" dxfId="463" priority="1823">
      <formula>$A77=2</formula>
    </cfRule>
    <cfRule type="expression" dxfId="462" priority="1824">
      <formula>$A77=1</formula>
    </cfRule>
  </conditionalFormatting>
  <conditionalFormatting sqref="D77:G77">
    <cfRule type="expression" dxfId="461" priority="1819">
      <formula>$A77=3</formula>
    </cfRule>
    <cfRule type="expression" dxfId="460" priority="1820">
      <formula>$A77=2</formula>
    </cfRule>
    <cfRule type="expression" dxfId="459" priority="1821">
      <formula>$A77=1</formula>
    </cfRule>
  </conditionalFormatting>
  <conditionalFormatting sqref="D78:G78">
    <cfRule type="expression" dxfId="458" priority="1816">
      <formula>$A78=3</formula>
    </cfRule>
    <cfRule type="expression" dxfId="457" priority="1817">
      <formula>$A78=2</formula>
    </cfRule>
    <cfRule type="expression" dxfId="456" priority="1818">
      <formula>$A78=1</formula>
    </cfRule>
  </conditionalFormatting>
  <conditionalFormatting sqref="D78:G78">
    <cfRule type="expression" dxfId="455" priority="1813">
      <formula>$A78=3</formula>
    </cfRule>
    <cfRule type="expression" dxfId="454" priority="1814">
      <formula>$A78=2</formula>
    </cfRule>
    <cfRule type="expression" dxfId="453" priority="1815">
      <formula>$A78=1</formula>
    </cfRule>
  </conditionalFormatting>
  <conditionalFormatting sqref="D78:G78">
    <cfRule type="expression" dxfId="452" priority="1810">
      <formula>$A78=3</formula>
    </cfRule>
    <cfRule type="expression" dxfId="451" priority="1811">
      <formula>$A78=2</formula>
    </cfRule>
    <cfRule type="expression" dxfId="450" priority="1812">
      <formula>$A78=1</formula>
    </cfRule>
  </conditionalFormatting>
  <conditionalFormatting sqref="D78:G78">
    <cfRule type="expression" dxfId="449" priority="1807">
      <formula>$A78=3</formula>
    </cfRule>
    <cfRule type="expression" dxfId="448" priority="1808">
      <formula>$A78=2</formula>
    </cfRule>
    <cfRule type="expression" dxfId="447" priority="1809">
      <formula>$A78=1</formula>
    </cfRule>
  </conditionalFormatting>
  <conditionalFormatting sqref="D78:G78">
    <cfRule type="expression" dxfId="446" priority="1804">
      <formula>$A78=3</formula>
    </cfRule>
    <cfRule type="expression" dxfId="445" priority="1805">
      <formula>$A78=2</formula>
    </cfRule>
    <cfRule type="expression" dxfId="444" priority="1806">
      <formula>$A78=1</formula>
    </cfRule>
  </conditionalFormatting>
  <conditionalFormatting sqref="D78:G78">
    <cfRule type="expression" dxfId="443" priority="1801">
      <formula>$A78=3</formula>
    </cfRule>
    <cfRule type="expression" dxfId="442" priority="1802">
      <formula>$A78=2</formula>
    </cfRule>
    <cfRule type="expression" dxfId="441" priority="1803">
      <formula>$A78=1</formula>
    </cfRule>
  </conditionalFormatting>
  <conditionalFormatting sqref="D78:G78">
    <cfRule type="expression" dxfId="440" priority="1798">
      <formula>$A78=3</formula>
    </cfRule>
    <cfRule type="expression" dxfId="439" priority="1799">
      <formula>$A78=2</formula>
    </cfRule>
    <cfRule type="expression" dxfId="438" priority="1800">
      <formula>$A78=1</formula>
    </cfRule>
  </conditionalFormatting>
  <conditionalFormatting sqref="D89:G90">
    <cfRule type="expression" dxfId="437" priority="1792">
      <formula>$A89=3</formula>
    </cfRule>
    <cfRule type="expression" dxfId="436" priority="1793">
      <formula>$A89=2</formula>
    </cfRule>
    <cfRule type="expression" dxfId="435" priority="1794">
      <formula>$A89=1</formula>
    </cfRule>
  </conditionalFormatting>
  <conditionalFormatting sqref="D89:G90">
    <cfRule type="expression" dxfId="434" priority="1789">
      <formula>$A89=3</formula>
    </cfRule>
    <cfRule type="expression" dxfId="433" priority="1790">
      <formula>$A89=2</formula>
    </cfRule>
    <cfRule type="expression" dxfId="432" priority="1791">
      <formula>$A89=1</formula>
    </cfRule>
  </conditionalFormatting>
  <conditionalFormatting sqref="D89:G90">
    <cfRule type="expression" dxfId="431" priority="1786">
      <formula>$A89=3</formula>
    </cfRule>
    <cfRule type="expression" dxfId="430" priority="1787">
      <formula>$A89=2</formula>
    </cfRule>
    <cfRule type="expression" dxfId="429" priority="1788">
      <formula>$A89=1</formula>
    </cfRule>
  </conditionalFormatting>
  <conditionalFormatting sqref="D89:G90">
    <cfRule type="expression" dxfId="428" priority="1783">
      <formula>$A89=3</formula>
    </cfRule>
    <cfRule type="expression" dxfId="427" priority="1784">
      <formula>$A89=2</formula>
    </cfRule>
    <cfRule type="expression" dxfId="426" priority="1785">
      <formula>$A89=1</formula>
    </cfRule>
  </conditionalFormatting>
  <conditionalFormatting sqref="D89:G90">
    <cfRule type="expression" dxfId="425" priority="1780">
      <formula>$A89=3</formula>
    </cfRule>
    <cfRule type="expression" dxfId="424" priority="1781">
      <formula>$A89=2</formula>
    </cfRule>
    <cfRule type="expression" dxfId="423" priority="1782">
      <formula>$A89=1</formula>
    </cfRule>
  </conditionalFormatting>
  <conditionalFormatting sqref="D89:G90">
    <cfRule type="expression" dxfId="422" priority="1777">
      <formula>$A89=3</formula>
    </cfRule>
    <cfRule type="expression" dxfId="421" priority="1778">
      <formula>$A89=2</formula>
    </cfRule>
    <cfRule type="expression" dxfId="420" priority="1779">
      <formula>$A89=1</formula>
    </cfRule>
  </conditionalFormatting>
  <conditionalFormatting sqref="D89:G90">
    <cfRule type="expression" dxfId="419" priority="1774">
      <formula>$A89=3</formula>
    </cfRule>
    <cfRule type="expression" dxfId="418" priority="1775">
      <formula>$A89=2</formula>
    </cfRule>
    <cfRule type="expression" dxfId="417" priority="1776">
      <formula>$A89=1</formula>
    </cfRule>
  </conditionalFormatting>
  <conditionalFormatting sqref="D89:G90">
    <cfRule type="expression" dxfId="416" priority="1771">
      <formula>$A89=3</formula>
    </cfRule>
    <cfRule type="expression" dxfId="415" priority="1772">
      <formula>$A89=2</formula>
    </cfRule>
    <cfRule type="expression" dxfId="414" priority="1773">
      <formula>$A89=1</formula>
    </cfRule>
  </conditionalFormatting>
  <conditionalFormatting sqref="D89:G90">
    <cfRule type="expression" dxfId="413" priority="1768">
      <formula>$A89=3</formula>
    </cfRule>
    <cfRule type="expression" dxfId="412" priority="1769">
      <formula>$A89=2</formula>
    </cfRule>
    <cfRule type="expression" dxfId="411" priority="1770">
      <formula>$A89=1</formula>
    </cfRule>
  </conditionalFormatting>
  <conditionalFormatting sqref="D89:G90">
    <cfRule type="expression" dxfId="410" priority="1765">
      <formula>$A89=3</formula>
    </cfRule>
    <cfRule type="expression" dxfId="409" priority="1766">
      <formula>$A89=2</formula>
    </cfRule>
    <cfRule type="expression" dxfId="408" priority="1767">
      <formula>$A89=1</formula>
    </cfRule>
  </conditionalFormatting>
  <conditionalFormatting sqref="D89:G90">
    <cfRule type="expression" dxfId="407" priority="1762">
      <formula>$A89=3</formula>
    </cfRule>
    <cfRule type="expression" dxfId="406" priority="1763">
      <formula>$A89=2</formula>
    </cfRule>
    <cfRule type="expression" dxfId="405" priority="1764">
      <formula>$A89=1</formula>
    </cfRule>
  </conditionalFormatting>
  <conditionalFormatting sqref="D89:G90">
    <cfRule type="expression" dxfId="404" priority="1759">
      <formula>$A89=3</formula>
    </cfRule>
    <cfRule type="expression" dxfId="403" priority="1760">
      <formula>$A89=2</formula>
    </cfRule>
    <cfRule type="expression" dxfId="402" priority="1761">
      <formula>$A89=1</formula>
    </cfRule>
  </conditionalFormatting>
  <conditionalFormatting sqref="D89:G90">
    <cfRule type="expression" dxfId="401" priority="1756">
      <formula>$A89=3</formula>
    </cfRule>
    <cfRule type="expression" dxfId="400" priority="1757">
      <formula>$A89=2</formula>
    </cfRule>
    <cfRule type="expression" dxfId="399" priority="1758">
      <formula>$A89=1</formula>
    </cfRule>
  </conditionalFormatting>
  <conditionalFormatting sqref="D89:G90">
    <cfRule type="expression" dxfId="398" priority="1753">
      <formula>$A89=3</formula>
    </cfRule>
    <cfRule type="expression" dxfId="397" priority="1754">
      <formula>$A89=2</formula>
    </cfRule>
    <cfRule type="expression" dxfId="396" priority="1755">
      <formula>$A89=1</formula>
    </cfRule>
  </conditionalFormatting>
  <conditionalFormatting sqref="E63:F63">
    <cfRule type="expression" dxfId="395" priority="1750">
      <formula>$A63=3</formula>
    </cfRule>
    <cfRule type="expression" dxfId="394" priority="1751">
      <formula>$A63=2</formula>
    </cfRule>
    <cfRule type="expression" dxfId="393" priority="1752">
      <formula>$A63=1</formula>
    </cfRule>
  </conditionalFormatting>
  <conditionalFormatting sqref="D51:G52">
    <cfRule type="expression" dxfId="392" priority="1747">
      <formula>$A51=3</formula>
    </cfRule>
    <cfRule type="expression" dxfId="391" priority="1748">
      <formula>$A51=2</formula>
    </cfRule>
    <cfRule type="expression" dxfId="390" priority="1749">
      <formula>$A51=1</formula>
    </cfRule>
  </conditionalFormatting>
  <conditionalFormatting sqref="D51:G52">
    <cfRule type="expression" dxfId="389" priority="1744">
      <formula>$A51=3</formula>
    </cfRule>
    <cfRule type="expression" dxfId="388" priority="1745">
      <formula>$A51=2</formula>
    </cfRule>
    <cfRule type="expression" dxfId="387" priority="1746">
      <formula>$A51=1</formula>
    </cfRule>
  </conditionalFormatting>
  <conditionalFormatting sqref="D51:G52">
    <cfRule type="expression" dxfId="386" priority="1741">
      <formula>$A51=3</formula>
    </cfRule>
    <cfRule type="expression" dxfId="385" priority="1742">
      <formula>$A51=2</formula>
    </cfRule>
    <cfRule type="expression" dxfId="384" priority="1743">
      <formula>$A51=1</formula>
    </cfRule>
  </conditionalFormatting>
  <conditionalFormatting sqref="D51:G52">
    <cfRule type="expression" dxfId="383" priority="1738">
      <formula>$A51=3</formula>
    </cfRule>
    <cfRule type="expression" dxfId="382" priority="1739">
      <formula>$A51=2</formula>
    </cfRule>
    <cfRule type="expression" dxfId="381" priority="1740">
      <formula>$A51=1</formula>
    </cfRule>
  </conditionalFormatting>
  <conditionalFormatting sqref="D51:G52">
    <cfRule type="expression" dxfId="380" priority="1735">
      <formula>$A51=3</formula>
    </cfRule>
    <cfRule type="expression" dxfId="379" priority="1736">
      <formula>$A51=2</formula>
    </cfRule>
    <cfRule type="expression" dxfId="378" priority="1737">
      <formula>$A51=1</formula>
    </cfRule>
  </conditionalFormatting>
  <conditionalFormatting sqref="D51:G52">
    <cfRule type="expression" dxfId="377" priority="1732">
      <formula>$A51=3</formula>
    </cfRule>
    <cfRule type="expression" dxfId="376" priority="1733">
      <formula>$A51=2</formula>
    </cfRule>
    <cfRule type="expression" dxfId="375" priority="1734">
      <formula>$A51=1</formula>
    </cfRule>
  </conditionalFormatting>
  <conditionalFormatting sqref="D81:G82">
    <cfRule type="expression" dxfId="374" priority="1729">
      <formula>$A81=3</formula>
    </cfRule>
    <cfRule type="expression" dxfId="373" priority="1730">
      <formula>$A81=2</formula>
    </cfRule>
    <cfRule type="expression" dxfId="372" priority="1731">
      <formula>$A81=1</formula>
    </cfRule>
  </conditionalFormatting>
  <conditionalFormatting sqref="D81:G82">
    <cfRule type="expression" dxfId="371" priority="1726">
      <formula>$A81=3</formula>
    </cfRule>
    <cfRule type="expression" dxfId="370" priority="1727">
      <formula>$A81=2</formula>
    </cfRule>
    <cfRule type="expression" dxfId="369" priority="1728">
      <formula>$A81=1</formula>
    </cfRule>
  </conditionalFormatting>
  <conditionalFormatting sqref="D81:G82">
    <cfRule type="expression" dxfId="368" priority="1723">
      <formula>$A81=3</formula>
    </cfRule>
    <cfRule type="expression" dxfId="367" priority="1724">
      <formula>$A81=2</formula>
    </cfRule>
    <cfRule type="expression" dxfId="366" priority="1725">
      <formula>$A81=1</formula>
    </cfRule>
  </conditionalFormatting>
  <conditionalFormatting sqref="D81:G82">
    <cfRule type="expression" dxfId="365" priority="1720">
      <formula>$A81=3</formula>
    </cfRule>
    <cfRule type="expression" dxfId="364" priority="1721">
      <formula>$A81=2</formula>
    </cfRule>
    <cfRule type="expression" dxfId="363" priority="1722">
      <formula>$A81=1</formula>
    </cfRule>
  </conditionalFormatting>
  <conditionalFormatting sqref="D81:G82">
    <cfRule type="expression" dxfId="362" priority="1717">
      <formula>$A81=3</formula>
    </cfRule>
    <cfRule type="expression" dxfId="361" priority="1718">
      <formula>$A81=2</formula>
    </cfRule>
    <cfRule type="expression" dxfId="360" priority="1719">
      <formula>$A81=1</formula>
    </cfRule>
  </conditionalFormatting>
  <conditionalFormatting sqref="D81:G82">
    <cfRule type="expression" dxfId="359" priority="1714">
      <formula>$A81=3</formula>
    </cfRule>
    <cfRule type="expression" dxfId="358" priority="1715">
      <formula>$A81=2</formula>
    </cfRule>
    <cfRule type="expression" dxfId="357" priority="1716">
      <formula>$A81=1</formula>
    </cfRule>
  </conditionalFormatting>
  <conditionalFormatting sqref="D81:G82">
    <cfRule type="expression" dxfId="356" priority="1711">
      <formula>$A81=3</formula>
    </cfRule>
    <cfRule type="expression" dxfId="355" priority="1712">
      <formula>$A81=2</formula>
    </cfRule>
    <cfRule type="expression" dxfId="354" priority="1713">
      <formula>$A81=1</formula>
    </cfRule>
  </conditionalFormatting>
  <conditionalFormatting sqref="D84:G86">
    <cfRule type="expression" dxfId="353" priority="1708">
      <formula>$A84=3</formula>
    </cfRule>
    <cfRule type="expression" dxfId="352" priority="1709">
      <formula>$A84=2</formula>
    </cfRule>
    <cfRule type="expression" dxfId="351" priority="1710">
      <formula>$A84=1</formula>
    </cfRule>
  </conditionalFormatting>
  <conditionalFormatting sqref="D84:G86">
    <cfRule type="expression" dxfId="350" priority="1705">
      <formula>$A84=3</formula>
    </cfRule>
    <cfRule type="expression" dxfId="349" priority="1706">
      <formula>$A84=2</formula>
    </cfRule>
    <cfRule type="expression" dxfId="348" priority="1707">
      <formula>$A84=1</formula>
    </cfRule>
  </conditionalFormatting>
  <conditionalFormatting sqref="D84:G86">
    <cfRule type="expression" dxfId="347" priority="1702">
      <formula>$A84=3</formula>
    </cfRule>
    <cfRule type="expression" dxfId="346" priority="1703">
      <formula>$A84=2</formula>
    </cfRule>
    <cfRule type="expression" dxfId="345" priority="1704">
      <formula>$A84=1</formula>
    </cfRule>
  </conditionalFormatting>
  <conditionalFormatting sqref="D84:G86">
    <cfRule type="expression" dxfId="344" priority="1699">
      <formula>$A84=3</formula>
    </cfRule>
    <cfRule type="expression" dxfId="343" priority="1700">
      <formula>$A84=2</formula>
    </cfRule>
    <cfRule type="expression" dxfId="342" priority="1701">
      <formula>$A84=1</formula>
    </cfRule>
  </conditionalFormatting>
  <conditionalFormatting sqref="D84:G86">
    <cfRule type="expression" dxfId="341" priority="1696">
      <formula>$A84=3</formula>
    </cfRule>
    <cfRule type="expression" dxfId="340" priority="1697">
      <formula>$A84=2</formula>
    </cfRule>
    <cfRule type="expression" dxfId="339" priority="1698">
      <formula>$A84=1</formula>
    </cfRule>
  </conditionalFormatting>
  <conditionalFormatting sqref="D84:G86">
    <cfRule type="expression" dxfId="338" priority="1693">
      <formula>$A84=3</formula>
    </cfRule>
    <cfRule type="expression" dxfId="337" priority="1694">
      <formula>$A84=2</formula>
    </cfRule>
    <cfRule type="expression" dxfId="336" priority="1695">
      <formula>$A84=1</formula>
    </cfRule>
  </conditionalFormatting>
  <conditionalFormatting sqref="D84:G86">
    <cfRule type="expression" dxfId="335" priority="1690">
      <formula>$A84=3</formula>
    </cfRule>
    <cfRule type="expression" dxfId="334" priority="1691">
      <formula>$A84=2</formula>
    </cfRule>
    <cfRule type="expression" dxfId="333" priority="1692">
      <formula>$A84=1</formula>
    </cfRule>
  </conditionalFormatting>
  <conditionalFormatting sqref="D93:G94">
    <cfRule type="expression" dxfId="332" priority="1687">
      <formula>$A93=3</formula>
    </cfRule>
    <cfRule type="expression" dxfId="331" priority="1688">
      <formula>$A93=2</formula>
    </cfRule>
    <cfRule type="expression" dxfId="330" priority="1689">
      <formula>$A93=1</formula>
    </cfRule>
  </conditionalFormatting>
  <conditionalFormatting sqref="D93:G94">
    <cfRule type="expression" dxfId="329" priority="1684">
      <formula>$A93=3</formula>
    </cfRule>
    <cfRule type="expression" dxfId="328" priority="1685">
      <formula>$A93=2</formula>
    </cfRule>
    <cfRule type="expression" dxfId="327" priority="1686">
      <formula>$A93=1</formula>
    </cfRule>
  </conditionalFormatting>
  <conditionalFormatting sqref="D93:G94">
    <cfRule type="expression" dxfId="326" priority="1681">
      <formula>$A93=3</formula>
    </cfRule>
    <cfRule type="expression" dxfId="325" priority="1682">
      <formula>$A93=2</formula>
    </cfRule>
    <cfRule type="expression" dxfId="324" priority="1683">
      <formula>$A93=1</formula>
    </cfRule>
  </conditionalFormatting>
  <conditionalFormatting sqref="D93:G94">
    <cfRule type="expression" dxfId="323" priority="1678">
      <formula>$A93=3</formula>
    </cfRule>
    <cfRule type="expression" dxfId="322" priority="1679">
      <formula>$A93=2</formula>
    </cfRule>
    <cfRule type="expression" dxfId="321" priority="1680">
      <formula>$A93=1</formula>
    </cfRule>
  </conditionalFormatting>
  <conditionalFormatting sqref="D93:G94">
    <cfRule type="expression" dxfId="320" priority="1675">
      <formula>$A93=3</formula>
    </cfRule>
    <cfRule type="expression" dxfId="319" priority="1676">
      <formula>$A93=2</formula>
    </cfRule>
    <cfRule type="expression" dxfId="318" priority="1677">
      <formula>$A93=1</formula>
    </cfRule>
  </conditionalFormatting>
  <conditionalFormatting sqref="D93:G94">
    <cfRule type="expression" dxfId="317" priority="1672">
      <formula>$A93=3</formula>
    </cfRule>
    <cfRule type="expression" dxfId="316" priority="1673">
      <formula>$A93=2</formula>
    </cfRule>
    <cfRule type="expression" dxfId="315" priority="1674">
      <formula>$A93=1</formula>
    </cfRule>
  </conditionalFormatting>
  <conditionalFormatting sqref="D93:G94">
    <cfRule type="expression" dxfId="314" priority="1669">
      <formula>$A93=3</formula>
    </cfRule>
    <cfRule type="expression" dxfId="313" priority="1670">
      <formula>$A93=2</formula>
    </cfRule>
    <cfRule type="expression" dxfId="312" priority="1671">
      <formula>$A93=1</formula>
    </cfRule>
  </conditionalFormatting>
  <conditionalFormatting sqref="D93:G94">
    <cfRule type="expression" dxfId="311" priority="1666">
      <formula>$A93=3</formula>
    </cfRule>
    <cfRule type="expression" dxfId="310" priority="1667">
      <formula>$A93=2</formula>
    </cfRule>
    <cfRule type="expression" dxfId="309" priority="1668">
      <formula>$A93=1</formula>
    </cfRule>
  </conditionalFormatting>
  <conditionalFormatting sqref="D96:G97">
    <cfRule type="expression" dxfId="308" priority="1663">
      <formula>$A96=3</formula>
    </cfRule>
    <cfRule type="expression" dxfId="307" priority="1664">
      <formula>$A96=2</formula>
    </cfRule>
    <cfRule type="expression" dxfId="306" priority="1665">
      <formula>$A96=1</formula>
    </cfRule>
  </conditionalFormatting>
  <conditionalFormatting sqref="D96:G97">
    <cfRule type="expression" dxfId="305" priority="1660">
      <formula>$A96=3</formula>
    </cfRule>
    <cfRule type="expression" dxfId="304" priority="1661">
      <formula>$A96=2</formula>
    </cfRule>
    <cfRule type="expression" dxfId="303" priority="1662">
      <formula>$A96=1</formula>
    </cfRule>
  </conditionalFormatting>
  <conditionalFormatting sqref="D96:G97">
    <cfRule type="expression" dxfId="302" priority="1657">
      <formula>$A96=3</formula>
    </cfRule>
    <cfRule type="expression" dxfId="301" priority="1658">
      <formula>$A96=2</formula>
    </cfRule>
    <cfRule type="expression" dxfId="300" priority="1659">
      <formula>$A96=1</formula>
    </cfRule>
  </conditionalFormatting>
  <conditionalFormatting sqref="D96:G97">
    <cfRule type="expression" dxfId="299" priority="1654">
      <formula>$A96=3</formula>
    </cfRule>
    <cfRule type="expression" dxfId="298" priority="1655">
      <formula>$A96=2</formula>
    </cfRule>
    <cfRule type="expression" dxfId="297" priority="1656">
      <formula>$A96=1</formula>
    </cfRule>
  </conditionalFormatting>
  <conditionalFormatting sqref="D96:G97">
    <cfRule type="expression" dxfId="296" priority="1651">
      <formula>$A96=3</formula>
    </cfRule>
    <cfRule type="expression" dxfId="295" priority="1652">
      <formula>$A96=2</formula>
    </cfRule>
    <cfRule type="expression" dxfId="294" priority="1653">
      <formula>$A96=1</formula>
    </cfRule>
  </conditionalFormatting>
  <conditionalFormatting sqref="D96:G97">
    <cfRule type="expression" dxfId="293" priority="1648">
      <formula>$A96=3</formula>
    </cfRule>
    <cfRule type="expression" dxfId="292" priority="1649">
      <formula>$A96=2</formula>
    </cfRule>
    <cfRule type="expression" dxfId="291" priority="1650">
      <formula>$A96=1</formula>
    </cfRule>
  </conditionalFormatting>
  <conditionalFormatting sqref="D96:G97">
    <cfRule type="expression" dxfId="290" priority="1645">
      <formula>$A96=3</formula>
    </cfRule>
    <cfRule type="expression" dxfId="289" priority="1646">
      <formula>$A96=2</formula>
    </cfRule>
    <cfRule type="expression" dxfId="288" priority="1647">
      <formula>$A96=1</formula>
    </cfRule>
  </conditionalFormatting>
  <conditionalFormatting sqref="D96:G97">
    <cfRule type="expression" dxfId="287" priority="1642">
      <formula>$A96=3</formula>
    </cfRule>
    <cfRule type="expression" dxfId="286" priority="1643">
      <formula>$A96=2</formula>
    </cfRule>
    <cfRule type="expression" dxfId="285" priority="1644">
      <formula>$A96=1</formula>
    </cfRule>
  </conditionalFormatting>
  <conditionalFormatting sqref="D99:G110">
    <cfRule type="expression" dxfId="284" priority="1639">
      <formula>$A99=3</formula>
    </cfRule>
    <cfRule type="expression" dxfId="283" priority="1640">
      <formula>$A99=2</formula>
    </cfRule>
    <cfRule type="expression" dxfId="282" priority="1641">
      <formula>$A99=1</formula>
    </cfRule>
  </conditionalFormatting>
  <conditionalFormatting sqref="D99:G110">
    <cfRule type="expression" dxfId="281" priority="1636">
      <formula>$A99=3</formula>
    </cfRule>
    <cfRule type="expression" dxfId="280" priority="1637">
      <formula>$A99=2</formula>
    </cfRule>
    <cfRule type="expression" dxfId="279" priority="1638">
      <formula>$A99=1</formula>
    </cfRule>
  </conditionalFormatting>
  <conditionalFormatting sqref="D99:G110">
    <cfRule type="expression" dxfId="278" priority="1633">
      <formula>$A99=3</formula>
    </cfRule>
    <cfRule type="expression" dxfId="277" priority="1634">
      <formula>$A99=2</formula>
    </cfRule>
    <cfRule type="expression" dxfId="276" priority="1635">
      <formula>$A99=1</formula>
    </cfRule>
  </conditionalFormatting>
  <conditionalFormatting sqref="D99:G110">
    <cfRule type="expression" dxfId="275" priority="1630">
      <formula>$A99=3</formula>
    </cfRule>
    <cfRule type="expression" dxfId="274" priority="1631">
      <formula>$A99=2</formula>
    </cfRule>
    <cfRule type="expression" dxfId="273" priority="1632">
      <formula>$A99=1</formula>
    </cfRule>
  </conditionalFormatting>
  <conditionalFormatting sqref="D99:G110">
    <cfRule type="expression" dxfId="272" priority="1627">
      <formula>$A99=3</formula>
    </cfRule>
    <cfRule type="expression" dxfId="271" priority="1628">
      <formula>$A99=2</formula>
    </cfRule>
    <cfRule type="expression" dxfId="270" priority="1629">
      <formula>$A99=1</formula>
    </cfRule>
  </conditionalFormatting>
  <conditionalFormatting sqref="D99:G110">
    <cfRule type="expression" dxfId="269" priority="1624">
      <formula>$A99=3</formula>
    </cfRule>
    <cfRule type="expression" dxfId="268" priority="1625">
      <formula>$A99=2</formula>
    </cfRule>
    <cfRule type="expression" dxfId="267" priority="1626">
      <formula>$A99=1</formula>
    </cfRule>
  </conditionalFormatting>
  <conditionalFormatting sqref="D99:G110">
    <cfRule type="expression" dxfId="266" priority="1621">
      <formula>$A99=3</formula>
    </cfRule>
    <cfRule type="expression" dxfId="265" priority="1622">
      <formula>$A99=2</formula>
    </cfRule>
    <cfRule type="expression" dxfId="264" priority="1623">
      <formula>$A99=1</formula>
    </cfRule>
  </conditionalFormatting>
  <conditionalFormatting sqref="D99:G110">
    <cfRule type="expression" dxfId="263" priority="1618">
      <formula>$A99=3</formula>
    </cfRule>
    <cfRule type="expression" dxfId="262" priority="1619">
      <formula>$A99=2</formula>
    </cfRule>
    <cfRule type="expression" dxfId="261" priority="1620">
      <formula>$A99=1</formula>
    </cfRule>
  </conditionalFormatting>
  <conditionalFormatting sqref="D113:G113">
    <cfRule type="expression" dxfId="260" priority="1615">
      <formula>$A113=3</formula>
    </cfRule>
    <cfRule type="expression" dxfId="259" priority="1616">
      <formula>$A113=2</formula>
    </cfRule>
    <cfRule type="expression" dxfId="258" priority="1617">
      <formula>$A113=1</formula>
    </cfRule>
  </conditionalFormatting>
  <conditionalFormatting sqref="D113:G113">
    <cfRule type="expression" dxfId="257" priority="1612">
      <formula>$A113=3</formula>
    </cfRule>
    <cfRule type="expression" dxfId="256" priority="1613">
      <formula>$A113=2</formula>
    </cfRule>
    <cfRule type="expression" dxfId="255" priority="1614">
      <formula>$A113=1</formula>
    </cfRule>
  </conditionalFormatting>
  <conditionalFormatting sqref="D113:G113">
    <cfRule type="expression" dxfId="254" priority="1609">
      <formula>$A113=3</formula>
    </cfRule>
    <cfRule type="expression" dxfId="253" priority="1610">
      <formula>$A113=2</formula>
    </cfRule>
    <cfRule type="expression" dxfId="252" priority="1611">
      <formula>$A113=1</formula>
    </cfRule>
  </conditionalFormatting>
  <conditionalFormatting sqref="D113:G113">
    <cfRule type="expression" dxfId="251" priority="1606">
      <formula>$A113=3</formula>
    </cfRule>
    <cfRule type="expression" dxfId="250" priority="1607">
      <formula>$A113=2</formula>
    </cfRule>
    <cfRule type="expression" dxfId="249" priority="1608">
      <formula>$A113=1</formula>
    </cfRule>
  </conditionalFormatting>
  <conditionalFormatting sqref="D113:G113">
    <cfRule type="expression" dxfId="248" priority="1603">
      <formula>$A113=3</formula>
    </cfRule>
    <cfRule type="expression" dxfId="247" priority="1604">
      <formula>$A113=2</formula>
    </cfRule>
    <cfRule type="expression" dxfId="246" priority="1605">
      <formula>$A113=1</formula>
    </cfRule>
  </conditionalFormatting>
  <conditionalFormatting sqref="D113:G113">
    <cfRule type="expression" dxfId="245" priority="1600">
      <formula>$A113=3</formula>
    </cfRule>
    <cfRule type="expression" dxfId="244" priority="1601">
      <formula>$A113=2</formula>
    </cfRule>
    <cfRule type="expression" dxfId="243" priority="1602">
      <formula>$A113=1</formula>
    </cfRule>
  </conditionalFormatting>
  <conditionalFormatting sqref="D113:G113">
    <cfRule type="expression" dxfId="242" priority="1597">
      <formula>$A113=3</formula>
    </cfRule>
    <cfRule type="expression" dxfId="241" priority="1598">
      <formula>$A113=2</formula>
    </cfRule>
    <cfRule type="expression" dxfId="240" priority="1599">
      <formula>$A113=1</formula>
    </cfRule>
  </conditionalFormatting>
  <conditionalFormatting sqref="D113:G113">
    <cfRule type="expression" dxfId="239" priority="1594">
      <formula>$A113=3</formula>
    </cfRule>
    <cfRule type="expression" dxfId="238" priority="1595">
      <formula>$A113=2</formula>
    </cfRule>
    <cfRule type="expression" dxfId="237" priority="1596">
      <formula>$A113=1</formula>
    </cfRule>
  </conditionalFormatting>
  <conditionalFormatting sqref="D114:G114">
    <cfRule type="expression" dxfId="236" priority="1591">
      <formula>$A114=3</formula>
    </cfRule>
    <cfRule type="expression" dxfId="235" priority="1592">
      <formula>$A114=2</formula>
    </cfRule>
    <cfRule type="expression" dxfId="234" priority="1593">
      <formula>$A114=1</formula>
    </cfRule>
  </conditionalFormatting>
  <conditionalFormatting sqref="D114:G114">
    <cfRule type="expression" dxfId="233" priority="1588">
      <formula>$A114=3</formula>
    </cfRule>
    <cfRule type="expression" dxfId="232" priority="1589">
      <formula>$A114=2</formula>
    </cfRule>
    <cfRule type="expression" dxfId="231" priority="1590">
      <formula>$A114=1</formula>
    </cfRule>
  </conditionalFormatting>
  <conditionalFormatting sqref="D114:G114">
    <cfRule type="expression" dxfId="230" priority="1585">
      <formula>$A114=3</formula>
    </cfRule>
    <cfRule type="expression" dxfId="229" priority="1586">
      <formula>$A114=2</formula>
    </cfRule>
    <cfRule type="expression" dxfId="228" priority="1587">
      <formula>$A114=1</formula>
    </cfRule>
  </conditionalFormatting>
  <conditionalFormatting sqref="D114:G114">
    <cfRule type="expression" dxfId="227" priority="1582">
      <formula>$A114=3</formula>
    </cfRule>
    <cfRule type="expression" dxfId="226" priority="1583">
      <formula>$A114=2</formula>
    </cfRule>
    <cfRule type="expression" dxfId="225" priority="1584">
      <formula>$A114=1</formula>
    </cfRule>
  </conditionalFormatting>
  <conditionalFormatting sqref="D114:G114">
    <cfRule type="expression" dxfId="224" priority="1579">
      <formula>$A114=3</formula>
    </cfRule>
    <cfRule type="expression" dxfId="223" priority="1580">
      <formula>$A114=2</formula>
    </cfRule>
    <cfRule type="expression" dxfId="222" priority="1581">
      <formula>$A114=1</formula>
    </cfRule>
  </conditionalFormatting>
  <conditionalFormatting sqref="D114:G114">
    <cfRule type="expression" dxfId="221" priority="1576">
      <formula>$A114=3</formula>
    </cfRule>
    <cfRule type="expression" dxfId="220" priority="1577">
      <formula>$A114=2</formula>
    </cfRule>
    <cfRule type="expression" dxfId="219" priority="1578">
      <formula>$A114=1</formula>
    </cfRule>
  </conditionalFormatting>
  <conditionalFormatting sqref="D114:G114">
    <cfRule type="expression" dxfId="218" priority="1573">
      <formula>$A114=3</formula>
    </cfRule>
    <cfRule type="expression" dxfId="217" priority="1574">
      <formula>$A114=2</formula>
    </cfRule>
    <cfRule type="expression" dxfId="216" priority="1575">
      <formula>$A114=1</formula>
    </cfRule>
  </conditionalFormatting>
  <conditionalFormatting sqref="D114:G114">
    <cfRule type="expression" dxfId="215" priority="1570">
      <formula>$A114=3</formula>
    </cfRule>
    <cfRule type="expression" dxfId="214" priority="1571">
      <formula>$A114=2</formula>
    </cfRule>
    <cfRule type="expression" dxfId="213" priority="1572">
      <formula>$A114=1</formula>
    </cfRule>
  </conditionalFormatting>
  <conditionalFormatting sqref="D117:G118">
    <cfRule type="expression" dxfId="212" priority="1567">
      <formula>$A117=3</formula>
    </cfRule>
    <cfRule type="expression" dxfId="211" priority="1568">
      <formula>$A117=2</formula>
    </cfRule>
    <cfRule type="expression" dxfId="210" priority="1569">
      <formula>$A117=1</formula>
    </cfRule>
  </conditionalFormatting>
  <conditionalFormatting sqref="D117:G118">
    <cfRule type="expression" dxfId="209" priority="1564">
      <formula>$A117=3</formula>
    </cfRule>
    <cfRule type="expression" dxfId="208" priority="1565">
      <formula>$A117=2</formula>
    </cfRule>
    <cfRule type="expression" dxfId="207" priority="1566">
      <formula>$A117=1</formula>
    </cfRule>
  </conditionalFormatting>
  <conditionalFormatting sqref="D117:G118">
    <cfRule type="expression" dxfId="206" priority="1561">
      <formula>$A117=3</formula>
    </cfRule>
    <cfRule type="expression" dxfId="205" priority="1562">
      <formula>$A117=2</formula>
    </cfRule>
    <cfRule type="expression" dxfId="204" priority="1563">
      <formula>$A117=1</formula>
    </cfRule>
  </conditionalFormatting>
  <conditionalFormatting sqref="D117:G118">
    <cfRule type="expression" dxfId="203" priority="1558">
      <formula>$A117=3</formula>
    </cfRule>
    <cfRule type="expression" dxfId="202" priority="1559">
      <formula>$A117=2</formula>
    </cfRule>
    <cfRule type="expression" dxfId="201" priority="1560">
      <formula>$A117=1</formula>
    </cfRule>
  </conditionalFormatting>
  <conditionalFormatting sqref="D117:G118">
    <cfRule type="expression" dxfId="200" priority="1555">
      <formula>$A117=3</formula>
    </cfRule>
    <cfRule type="expression" dxfId="199" priority="1556">
      <formula>$A117=2</formula>
    </cfRule>
    <cfRule type="expression" dxfId="198" priority="1557">
      <formula>$A117=1</formula>
    </cfRule>
  </conditionalFormatting>
  <conditionalFormatting sqref="D117:G118">
    <cfRule type="expression" dxfId="197" priority="1552">
      <formula>$A117=3</formula>
    </cfRule>
    <cfRule type="expression" dxfId="196" priority="1553">
      <formula>$A117=2</formula>
    </cfRule>
    <cfRule type="expression" dxfId="195" priority="1554">
      <formula>$A117=1</formula>
    </cfRule>
  </conditionalFormatting>
  <conditionalFormatting sqref="D117:G118">
    <cfRule type="expression" dxfId="194" priority="1549">
      <formula>$A117=3</formula>
    </cfRule>
    <cfRule type="expression" dxfId="193" priority="1550">
      <formula>$A117=2</formula>
    </cfRule>
    <cfRule type="expression" dxfId="192" priority="1551">
      <formula>$A117=1</formula>
    </cfRule>
  </conditionalFormatting>
  <conditionalFormatting sqref="D117:G118">
    <cfRule type="expression" dxfId="191" priority="1546">
      <formula>$A117=3</formula>
    </cfRule>
    <cfRule type="expression" dxfId="190" priority="1547">
      <formula>$A117=2</formula>
    </cfRule>
    <cfRule type="expression" dxfId="189" priority="1548">
      <formula>$A117=1</formula>
    </cfRule>
  </conditionalFormatting>
  <conditionalFormatting sqref="D117:G118">
    <cfRule type="expression" dxfId="188" priority="1543">
      <formula>$A117=3</formula>
    </cfRule>
    <cfRule type="expression" dxfId="187" priority="1544">
      <formula>$A117=2</formula>
    </cfRule>
    <cfRule type="expression" dxfId="186" priority="1545">
      <formula>$A117=1</formula>
    </cfRule>
  </conditionalFormatting>
  <conditionalFormatting sqref="D117:G118">
    <cfRule type="expression" dxfId="185" priority="1540">
      <formula>$A117=3</formula>
    </cfRule>
    <cfRule type="expression" dxfId="184" priority="1541">
      <formula>$A117=2</formula>
    </cfRule>
    <cfRule type="expression" dxfId="183" priority="1542">
      <formula>$A117=1</formula>
    </cfRule>
  </conditionalFormatting>
  <conditionalFormatting sqref="D120:G121">
    <cfRule type="expression" dxfId="182" priority="1537">
      <formula>$A120=3</formula>
    </cfRule>
    <cfRule type="expression" dxfId="181" priority="1538">
      <formula>$A120=2</formula>
    </cfRule>
    <cfRule type="expression" dxfId="180" priority="1539">
      <formula>$A120=1</formula>
    </cfRule>
  </conditionalFormatting>
  <conditionalFormatting sqref="D120:G121">
    <cfRule type="expression" dxfId="179" priority="1534">
      <formula>$A120=3</formula>
    </cfRule>
    <cfRule type="expression" dxfId="178" priority="1535">
      <formula>$A120=2</formula>
    </cfRule>
    <cfRule type="expression" dxfId="177" priority="1536">
      <formula>$A120=1</formula>
    </cfRule>
  </conditionalFormatting>
  <conditionalFormatting sqref="D120:G121">
    <cfRule type="expression" dxfId="176" priority="1531">
      <formula>$A120=3</formula>
    </cfRule>
    <cfRule type="expression" dxfId="175" priority="1532">
      <formula>$A120=2</formula>
    </cfRule>
    <cfRule type="expression" dxfId="174" priority="1533">
      <formula>$A120=1</formula>
    </cfRule>
  </conditionalFormatting>
  <conditionalFormatting sqref="D120:G121">
    <cfRule type="expression" dxfId="173" priority="1528">
      <formula>$A120=3</formula>
    </cfRule>
    <cfRule type="expression" dxfId="172" priority="1529">
      <formula>$A120=2</formula>
    </cfRule>
    <cfRule type="expression" dxfId="171" priority="1530">
      <formula>$A120=1</formula>
    </cfRule>
  </conditionalFormatting>
  <conditionalFormatting sqref="D120:G121">
    <cfRule type="expression" dxfId="170" priority="1525">
      <formula>$A120=3</formula>
    </cfRule>
    <cfRule type="expression" dxfId="169" priority="1526">
      <formula>$A120=2</formula>
    </cfRule>
    <cfRule type="expression" dxfId="168" priority="1527">
      <formula>$A120=1</formula>
    </cfRule>
  </conditionalFormatting>
  <conditionalFormatting sqref="D120:G121">
    <cfRule type="expression" dxfId="167" priority="1522">
      <formula>$A120=3</formula>
    </cfRule>
    <cfRule type="expression" dxfId="166" priority="1523">
      <formula>$A120=2</formula>
    </cfRule>
    <cfRule type="expression" dxfId="165" priority="1524">
      <formula>$A120=1</formula>
    </cfRule>
  </conditionalFormatting>
  <conditionalFormatting sqref="D120:G121">
    <cfRule type="expression" dxfId="164" priority="1519">
      <formula>$A120=3</formula>
    </cfRule>
    <cfRule type="expression" dxfId="163" priority="1520">
      <formula>$A120=2</formula>
    </cfRule>
    <cfRule type="expression" dxfId="162" priority="1521">
      <formula>$A120=1</formula>
    </cfRule>
  </conditionalFormatting>
  <conditionalFormatting sqref="D120:G121">
    <cfRule type="expression" dxfId="161" priority="1516">
      <formula>$A120=3</formula>
    </cfRule>
    <cfRule type="expression" dxfId="160" priority="1517">
      <formula>$A120=2</formula>
    </cfRule>
    <cfRule type="expression" dxfId="159" priority="1518">
      <formula>$A120=1</formula>
    </cfRule>
  </conditionalFormatting>
  <conditionalFormatting sqref="D120:G121">
    <cfRule type="expression" dxfId="158" priority="1513">
      <formula>$A120=3</formula>
    </cfRule>
    <cfRule type="expression" dxfId="157" priority="1514">
      <formula>$A120=2</formula>
    </cfRule>
    <cfRule type="expression" dxfId="156" priority="1515">
      <formula>$A120=1</formula>
    </cfRule>
  </conditionalFormatting>
  <conditionalFormatting sqref="D120:G121">
    <cfRule type="expression" dxfId="155" priority="1510">
      <formula>$A120=3</formula>
    </cfRule>
    <cfRule type="expression" dxfId="154" priority="1511">
      <formula>$A120=2</formula>
    </cfRule>
    <cfRule type="expression" dxfId="153" priority="1512">
      <formula>$A120=1</formula>
    </cfRule>
  </conditionalFormatting>
  <conditionalFormatting sqref="D67:G67">
    <cfRule type="expression" dxfId="152" priority="1507">
      <formula>$A67=3</formula>
    </cfRule>
    <cfRule type="expression" dxfId="151" priority="1508">
      <formula>$A67=2</formula>
    </cfRule>
    <cfRule type="expression" dxfId="150" priority="1509">
      <formula>$A67=1</formula>
    </cfRule>
  </conditionalFormatting>
  <conditionalFormatting sqref="D69:G70">
    <cfRule type="expression" dxfId="149" priority="1504">
      <formula>$A69=3</formula>
    </cfRule>
    <cfRule type="expression" dxfId="148" priority="1505">
      <formula>$A69=2</formula>
    </cfRule>
    <cfRule type="expression" dxfId="147" priority="1506">
      <formula>$A69=1</formula>
    </cfRule>
  </conditionalFormatting>
  <conditionalFormatting sqref="D117:G118">
    <cfRule type="expression" dxfId="146" priority="1498">
      <formula>$A117=3</formula>
    </cfRule>
    <cfRule type="expression" dxfId="145" priority="1499">
      <formula>$A117=2</formula>
    </cfRule>
    <cfRule type="expression" dxfId="144" priority="1500">
      <formula>$A117=1</formula>
    </cfRule>
  </conditionalFormatting>
  <conditionalFormatting sqref="D117:G118">
    <cfRule type="expression" dxfId="143" priority="1495">
      <formula>$A117=3</formula>
    </cfRule>
    <cfRule type="expression" dxfId="142" priority="1496">
      <formula>$A117=2</formula>
    </cfRule>
    <cfRule type="expression" dxfId="141" priority="1497">
      <formula>$A117=1</formula>
    </cfRule>
  </conditionalFormatting>
  <conditionalFormatting sqref="D117:G118">
    <cfRule type="expression" dxfId="140" priority="1492">
      <formula>$A117=3</formula>
    </cfRule>
    <cfRule type="expression" dxfId="139" priority="1493">
      <formula>$A117=2</formula>
    </cfRule>
    <cfRule type="expression" dxfId="138" priority="1494">
      <formula>$A117=1</formula>
    </cfRule>
  </conditionalFormatting>
  <conditionalFormatting sqref="D117:G118">
    <cfRule type="expression" dxfId="137" priority="1489">
      <formula>$A117=3</formula>
    </cfRule>
    <cfRule type="expression" dxfId="136" priority="1490">
      <formula>$A117=2</formula>
    </cfRule>
    <cfRule type="expression" dxfId="135" priority="1491">
      <formula>$A117=1</formula>
    </cfRule>
  </conditionalFormatting>
  <conditionalFormatting sqref="D117:G118">
    <cfRule type="expression" dxfId="134" priority="1486">
      <formula>$A117=3</formula>
    </cfRule>
    <cfRule type="expression" dxfId="133" priority="1487">
      <formula>$A117=2</formula>
    </cfRule>
    <cfRule type="expression" dxfId="132" priority="1488">
      <formula>$A117=1</formula>
    </cfRule>
  </conditionalFormatting>
  <conditionalFormatting sqref="D117:G118">
    <cfRule type="expression" dxfId="131" priority="1483">
      <formula>$A117=3</formula>
    </cfRule>
    <cfRule type="expression" dxfId="130" priority="1484">
      <formula>$A117=2</formula>
    </cfRule>
    <cfRule type="expression" dxfId="129" priority="1485">
      <formula>$A117=1</formula>
    </cfRule>
  </conditionalFormatting>
  <conditionalFormatting sqref="D117:G118">
    <cfRule type="expression" dxfId="128" priority="1480">
      <formula>$A117=3</formula>
    </cfRule>
    <cfRule type="expression" dxfId="127" priority="1481">
      <formula>$A117=2</formula>
    </cfRule>
    <cfRule type="expression" dxfId="126" priority="1482">
      <formula>$A117=1</formula>
    </cfRule>
  </conditionalFormatting>
  <conditionalFormatting sqref="D117:G118">
    <cfRule type="expression" dxfId="125" priority="1477">
      <formula>$A117=3</formula>
    </cfRule>
    <cfRule type="expression" dxfId="124" priority="1478">
      <formula>$A117=2</formula>
    </cfRule>
    <cfRule type="expression" dxfId="123" priority="1479">
      <formula>$A117=1</formula>
    </cfRule>
  </conditionalFormatting>
  <conditionalFormatting sqref="D117:G118">
    <cfRule type="expression" dxfId="122" priority="1474">
      <formula>$A117=3</formula>
    </cfRule>
    <cfRule type="expression" dxfId="121" priority="1475">
      <formula>$A117=2</formula>
    </cfRule>
    <cfRule type="expression" dxfId="120" priority="1476">
      <formula>$A117=1</formula>
    </cfRule>
  </conditionalFormatting>
  <conditionalFormatting sqref="D117:G118">
    <cfRule type="expression" dxfId="119" priority="1471">
      <formula>$A117=3</formula>
    </cfRule>
    <cfRule type="expression" dxfId="118" priority="1472">
      <formula>$A117=2</formula>
    </cfRule>
    <cfRule type="expression" dxfId="117" priority="1473">
      <formula>$A117=1</formula>
    </cfRule>
  </conditionalFormatting>
  <conditionalFormatting sqref="D117:G118">
    <cfRule type="expression" dxfId="116" priority="1468">
      <formula>$A117=3</formula>
    </cfRule>
    <cfRule type="expression" dxfId="115" priority="1469">
      <formula>$A117=2</formula>
    </cfRule>
    <cfRule type="expression" dxfId="114" priority="1470">
      <formula>$A117=1</formula>
    </cfRule>
  </conditionalFormatting>
  <conditionalFormatting sqref="D117:G118">
    <cfRule type="expression" dxfId="113" priority="1465">
      <formula>$A117=3</formula>
    </cfRule>
    <cfRule type="expression" dxfId="112" priority="1466">
      <formula>$A117=2</formula>
    </cfRule>
    <cfRule type="expression" dxfId="111" priority="1467">
      <formula>$A117=1</formula>
    </cfRule>
  </conditionalFormatting>
  <conditionalFormatting sqref="D31:G31">
    <cfRule type="expression" dxfId="110" priority="259">
      <formula>$A31=3</formula>
    </cfRule>
    <cfRule type="expression" dxfId="109" priority="260">
      <formula>$A31=2</formula>
    </cfRule>
    <cfRule type="expression" dxfId="108" priority="261">
      <formula>$A31=1</formula>
    </cfRule>
  </conditionalFormatting>
  <conditionalFormatting sqref="D31:G31">
    <cfRule type="expression" dxfId="107" priority="256">
      <formula>$A31=3</formula>
    </cfRule>
    <cfRule type="expression" dxfId="106" priority="257">
      <formula>$A31=2</formula>
    </cfRule>
    <cfRule type="expression" dxfId="105" priority="258">
      <formula>$A31=1</formula>
    </cfRule>
  </conditionalFormatting>
  <conditionalFormatting sqref="D31:G31">
    <cfRule type="expression" dxfId="104" priority="253">
      <formula>$A31=3</formula>
    </cfRule>
    <cfRule type="expression" dxfId="103" priority="254">
      <formula>$A31=2</formula>
    </cfRule>
    <cfRule type="expression" dxfId="102" priority="255">
      <formula>$A31=1</formula>
    </cfRule>
  </conditionalFormatting>
  <conditionalFormatting sqref="D31:G31">
    <cfRule type="expression" dxfId="101" priority="250">
      <formula>$A31=3</formula>
    </cfRule>
    <cfRule type="expression" dxfId="100" priority="251">
      <formula>$A31=2</formula>
    </cfRule>
    <cfRule type="expression" dxfId="99" priority="252">
      <formula>$A31=1</formula>
    </cfRule>
  </conditionalFormatting>
  <conditionalFormatting sqref="D31:G31">
    <cfRule type="expression" dxfId="98" priority="247">
      <formula>$A31=3</formula>
    </cfRule>
    <cfRule type="expression" dxfId="97" priority="248">
      <formula>$A31=2</formula>
    </cfRule>
    <cfRule type="expression" dxfId="96" priority="249">
      <formula>$A31=1</formula>
    </cfRule>
  </conditionalFormatting>
  <conditionalFormatting sqref="D106:G106">
    <cfRule type="expression" dxfId="95" priority="199">
      <formula>$A106=3</formula>
    </cfRule>
    <cfRule type="expression" dxfId="94" priority="200">
      <formula>$A106=2</formula>
    </cfRule>
    <cfRule type="expression" dxfId="93" priority="201">
      <formula>$A106=1</formula>
    </cfRule>
  </conditionalFormatting>
  <conditionalFormatting sqref="D107:G107">
    <cfRule type="expression" dxfId="92" priority="196">
      <formula>$A107=3</formula>
    </cfRule>
    <cfRule type="expression" dxfId="91" priority="197">
      <formula>$A107=2</formula>
    </cfRule>
    <cfRule type="expression" dxfId="90" priority="198">
      <formula>$A107=1</formula>
    </cfRule>
  </conditionalFormatting>
  <conditionalFormatting sqref="D103:G103">
    <cfRule type="expression" dxfId="89" priority="193">
      <formula>$A103=3</formula>
    </cfRule>
    <cfRule type="expression" dxfId="88" priority="194">
      <formula>$A103=2</formula>
    </cfRule>
    <cfRule type="expression" dxfId="87" priority="195">
      <formula>$A103=1</formula>
    </cfRule>
  </conditionalFormatting>
  <conditionalFormatting sqref="D104:G104">
    <cfRule type="expression" dxfId="86" priority="190">
      <formula>$A104=3</formula>
    </cfRule>
    <cfRule type="expression" dxfId="85" priority="191">
      <formula>$A104=2</formula>
    </cfRule>
    <cfRule type="expression" dxfId="84" priority="192">
      <formula>$A104=1</formula>
    </cfRule>
  </conditionalFormatting>
  <conditionalFormatting sqref="D103:G104">
    <cfRule type="expression" dxfId="83" priority="187">
      <formula>$A103=3</formula>
    </cfRule>
    <cfRule type="expression" dxfId="82" priority="188">
      <formula>$A103=2</formula>
    </cfRule>
    <cfRule type="expression" dxfId="81" priority="189">
      <formula>$A103=1</formula>
    </cfRule>
  </conditionalFormatting>
  <conditionalFormatting sqref="D103:G104">
    <cfRule type="expression" dxfId="80" priority="184">
      <formula>$A103=3</formula>
    </cfRule>
    <cfRule type="expression" dxfId="79" priority="185">
      <formula>$A103=2</formula>
    </cfRule>
    <cfRule type="expression" dxfId="78" priority="186">
      <formula>$A103=1</formula>
    </cfRule>
  </conditionalFormatting>
  <conditionalFormatting sqref="D103:G104">
    <cfRule type="expression" dxfId="77" priority="181">
      <formula>$A103=3</formula>
    </cfRule>
    <cfRule type="expression" dxfId="76" priority="182">
      <formula>$A103=2</formula>
    </cfRule>
    <cfRule type="expression" dxfId="75" priority="183">
      <formula>$A103=1</formula>
    </cfRule>
  </conditionalFormatting>
  <conditionalFormatting sqref="D103:G104">
    <cfRule type="expression" dxfId="74" priority="178">
      <formula>$A103=3</formula>
    </cfRule>
    <cfRule type="expression" dxfId="73" priority="179">
      <formula>$A103=2</formula>
    </cfRule>
    <cfRule type="expression" dxfId="72" priority="180">
      <formula>$A103=1</formula>
    </cfRule>
  </conditionalFormatting>
  <conditionalFormatting sqref="D103:G104">
    <cfRule type="expression" dxfId="71" priority="175">
      <formula>$A103=3</formula>
    </cfRule>
    <cfRule type="expression" dxfId="70" priority="176">
      <formula>$A103=2</formula>
    </cfRule>
    <cfRule type="expression" dxfId="69" priority="177">
      <formula>$A103=1</formula>
    </cfRule>
  </conditionalFormatting>
  <conditionalFormatting sqref="D103:G104">
    <cfRule type="expression" dxfId="68" priority="172">
      <formula>$A103=3</formula>
    </cfRule>
    <cfRule type="expression" dxfId="67" priority="173">
      <formula>$A103=2</formula>
    </cfRule>
    <cfRule type="expression" dxfId="66" priority="174">
      <formula>$A103=1</formula>
    </cfRule>
  </conditionalFormatting>
  <conditionalFormatting sqref="D103:G104">
    <cfRule type="expression" dxfId="65" priority="169">
      <formula>$A103=3</formula>
    </cfRule>
    <cfRule type="expression" dxfId="64" priority="170">
      <formula>$A103=2</formula>
    </cfRule>
    <cfRule type="expression" dxfId="63" priority="171">
      <formula>$A103=1</formula>
    </cfRule>
  </conditionalFormatting>
  <conditionalFormatting sqref="D103:G104">
    <cfRule type="expression" dxfId="62" priority="166">
      <formula>$A103=3</formula>
    </cfRule>
    <cfRule type="expression" dxfId="61" priority="167">
      <formula>$A103=2</formula>
    </cfRule>
    <cfRule type="expression" dxfId="60" priority="168">
      <formula>$A103=1</formula>
    </cfRule>
  </conditionalFormatting>
  <conditionalFormatting sqref="D106:G107">
    <cfRule type="expression" dxfId="59" priority="163">
      <formula>$A106=3</formula>
    </cfRule>
    <cfRule type="expression" dxfId="58" priority="164">
      <formula>$A106=2</formula>
    </cfRule>
    <cfRule type="expression" dxfId="57" priority="165">
      <formula>$A106=1</formula>
    </cfRule>
  </conditionalFormatting>
  <conditionalFormatting sqref="D106:G107">
    <cfRule type="expression" dxfId="56" priority="160">
      <formula>$A106=3</formula>
    </cfRule>
    <cfRule type="expression" dxfId="55" priority="161">
      <formula>$A106=2</formula>
    </cfRule>
    <cfRule type="expression" dxfId="54" priority="162">
      <formula>$A106=1</formula>
    </cfRule>
  </conditionalFormatting>
  <conditionalFormatting sqref="D106:G107">
    <cfRule type="expression" dxfId="53" priority="157">
      <formula>$A106=3</formula>
    </cfRule>
    <cfRule type="expression" dxfId="52" priority="158">
      <formula>$A106=2</formula>
    </cfRule>
    <cfRule type="expression" dxfId="51" priority="159">
      <formula>$A106=1</formula>
    </cfRule>
  </conditionalFormatting>
  <conditionalFormatting sqref="D106:G107">
    <cfRule type="expression" dxfId="50" priority="154">
      <formula>$A106=3</formula>
    </cfRule>
    <cfRule type="expression" dxfId="49" priority="155">
      <formula>$A106=2</formula>
    </cfRule>
    <cfRule type="expression" dxfId="48" priority="156">
      <formula>$A106=1</formula>
    </cfRule>
  </conditionalFormatting>
  <conditionalFormatting sqref="D106:G107">
    <cfRule type="expression" dxfId="47" priority="151">
      <formula>$A106=3</formula>
    </cfRule>
    <cfRule type="expression" dxfId="46" priority="152">
      <formula>$A106=2</formula>
    </cfRule>
    <cfRule type="expression" dxfId="45" priority="153">
      <formula>$A106=1</formula>
    </cfRule>
  </conditionalFormatting>
  <conditionalFormatting sqref="D106:G107">
    <cfRule type="expression" dxfId="44" priority="148">
      <formula>$A106=3</formula>
    </cfRule>
    <cfRule type="expression" dxfId="43" priority="149">
      <formula>$A106=2</formula>
    </cfRule>
    <cfRule type="expression" dxfId="42" priority="150">
      <formula>$A106=1</formula>
    </cfRule>
  </conditionalFormatting>
  <conditionalFormatting sqref="D106:G107">
    <cfRule type="expression" dxfId="41" priority="145">
      <formula>$A106=3</formula>
    </cfRule>
    <cfRule type="expression" dxfId="40" priority="146">
      <formula>$A106=2</formula>
    </cfRule>
    <cfRule type="expression" dxfId="39" priority="147">
      <formula>$A106=1</formula>
    </cfRule>
  </conditionalFormatting>
  <conditionalFormatting sqref="D106:G107">
    <cfRule type="expression" dxfId="38" priority="142">
      <formula>$A106=3</formula>
    </cfRule>
    <cfRule type="expression" dxfId="37" priority="143">
      <formula>$A106=2</formula>
    </cfRule>
    <cfRule type="expression" dxfId="36" priority="144">
      <formula>$A106=1</formula>
    </cfRule>
  </conditionalFormatting>
  <conditionalFormatting sqref="B101">
    <cfRule type="expression" dxfId="35" priority="31">
      <formula>$A101=3</formula>
    </cfRule>
    <cfRule type="expression" dxfId="34" priority="32">
      <formula>$A101=2</formula>
    </cfRule>
    <cfRule type="expression" dxfId="33" priority="33">
      <formula>$A101=1</formula>
    </cfRule>
  </conditionalFormatting>
  <pageMargins left="0.39370078740157483" right="0.19685039370078741" top="0.19685039370078741" bottom="0.19685039370078741" header="0.31496062992125984" footer="0.31496062992125984"/>
  <pageSetup paperSize="9" scale="6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zoomScaleNormal="100" zoomScaleSheetLayoutView="70" workbookViewId="0">
      <pane xSplit="3" ySplit="4" topLeftCell="D5" activePane="bottomRight" state="frozen"/>
      <selection activeCell="S5" sqref="S5"/>
      <selection pane="topRight" activeCell="S5" sqref="S5"/>
      <selection pane="bottomLeft" activeCell="S5" sqref="S5"/>
      <selection pane="bottomRight" activeCell="J4" sqref="J4"/>
    </sheetView>
  </sheetViews>
  <sheetFormatPr defaultRowHeight="15" outlineLevelRow="2"/>
  <cols>
    <col min="1" max="1" width="5.85546875" style="117" hidden="1" customWidth="1"/>
    <col min="2" max="2" width="63.7109375" style="117" customWidth="1"/>
    <col min="3" max="3" width="38.140625" style="117" customWidth="1"/>
    <col min="4" max="4" width="11.42578125" style="117" customWidth="1"/>
    <col min="5" max="5" width="10" style="117" customWidth="1"/>
    <col min="6" max="8" width="9.28515625" style="117" customWidth="1"/>
    <col min="9" max="16384" width="9.140625" style="117"/>
  </cols>
  <sheetData>
    <row r="1" spans="1:8" ht="15.75">
      <c r="B1" s="93" t="s">
        <v>0</v>
      </c>
      <c r="C1" s="118"/>
      <c r="D1" s="118"/>
      <c r="E1" s="118"/>
      <c r="F1" s="118"/>
      <c r="G1" s="118"/>
      <c r="H1" s="119"/>
    </row>
    <row r="2" spans="1:8" ht="54.75" customHeight="1">
      <c r="B2" s="271" t="s">
        <v>229</v>
      </c>
      <c r="C2" s="271"/>
      <c r="D2" s="271"/>
      <c r="E2" s="271"/>
      <c r="F2" s="271"/>
      <c r="G2" s="271"/>
      <c r="H2" s="271"/>
    </row>
    <row r="3" spans="1:8" ht="24" customHeight="1">
      <c r="B3" s="120" t="s">
        <v>119</v>
      </c>
      <c r="C3" s="121"/>
      <c r="D3" s="121"/>
      <c r="E3" s="121"/>
      <c r="F3" s="121"/>
      <c r="G3" s="121"/>
      <c r="H3" s="121"/>
    </row>
    <row r="4" spans="1:8" ht="45">
      <c r="B4" s="112" t="s">
        <v>2</v>
      </c>
      <c r="C4" s="112" t="s">
        <v>3</v>
      </c>
      <c r="D4" s="11" t="s">
        <v>228</v>
      </c>
      <c r="E4" s="122" t="s">
        <v>4</v>
      </c>
      <c r="F4" s="122" t="s">
        <v>5</v>
      </c>
      <c r="G4" s="122" t="s">
        <v>6</v>
      </c>
      <c r="H4" s="122" t="s">
        <v>7</v>
      </c>
    </row>
    <row r="5" spans="1:8" ht="15" hidden="1" customHeight="1" outlineLevel="2">
      <c r="B5" s="14" t="s">
        <v>8</v>
      </c>
      <c r="C5" s="19" t="s">
        <v>120</v>
      </c>
      <c r="D5" s="123">
        <v>146</v>
      </c>
      <c r="E5" s="124">
        <v>33</v>
      </c>
      <c r="F5" s="124">
        <v>32</v>
      </c>
      <c r="G5" s="124">
        <v>40</v>
      </c>
      <c r="H5" s="124">
        <v>41</v>
      </c>
    </row>
    <row r="6" spans="1:8" hidden="1" outlineLevel="2">
      <c r="B6" s="13" t="s">
        <v>8</v>
      </c>
      <c r="C6" s="18" t="s">
        <v>121</v>
      </c>
      <c r="D6" s="123"/>
      <c r="E6" s="115"/>
      <c r="F6" s="115"/>
      <c r="G6" s="115"/>
      <c r="H6" s="115"/>
    </row>
    <row r="7" spans="1:8" hidden="1" outlineLevel="2">
      <c r="B7" s="12" t="s">
        <v>8</v>
      </c>
      <c r="C7" s="11" t="s">
        <v>122</v>
      </c>
      <c r="D7" s="123"/>
      <c r="E7" s="21"/>
      <c r="F7" s="21"/>
      <c r="G7" s="21"/>
      <c r="H7" s="21"/>
    </row>
    <row r="8" spans="1:8" hidden="1" outlineLevel="2">
      <c r="B8" s="14" t="s">
        <v>8</v>
      </c>
      <c r="C8" s="19" t="s">
        <v>123</v>
      </c>
      <c r="D8" s="123"/>
      <c r="E8" s="124"/>
      <c r="F8" s="124"/>
      <c r="G8" s="124"/>
      <c r="H8" s="124"/>
    </row>
    <row r="9" spans="1:8" hidden="1" outlineLevel="2">
      <c r="B9" s="12" t="s">
        <v>8</v>
      </c>
      <c r="C9" s="11" t="s">
        <v>124</v>
      </c>
      <c r="D9" s="123"/>
      <c r="E9" s="21"/>
      <c r="F9" s="21"/>
      <c r="G9" s="21"/>
      <c r="H9" s="21"/>
    </row>
    <row r="10" spans="1:8" hidden="1" outlineLevel="2">
      <c r="B10" s="12" t="s">
        <v>8</v>
      </c>
      <c r="C10" s="11" t="s">
        <v>125</v>
      </c>
      <c r="D10" s="123"/>
      <c r="E10" s="21"/>
      <c r="F10" s="21"/>
      <c r="G10" s="21"/>
      <c r="H10" s="21"/>
    </row>
    <row r="11" spans="1:8" hidden="1" outlineLevel="2">
      <c r="B11" s="12" t="s">
        <v>8</v>
      </c>
      <c r="C11" s="11" t="s">
        <v>126</v>
      </c>
      <c r="D11" s="123"/>
      <c r="E11" s="21"/>
      <c r="F11" s="21"/>
      <c r="G11" s="21"/>
      <c r="H11" s="21"/>
    </row>
    <row r="12" spans="1:8" hidden="1" outlineLevel="2">
      <c r="B12" s="12" t="s">
        <v>8</v>
      </c>
      <c r="C12" s="11" t="s">
        <v>127</v>
      </c>
      <c r="D12" s="123"/>
      <c r="E12" s="21"/>
      <c r="F12" s="21"/>
      <c r="G12" s="21"/>
      <c r="H12" s="21"/>
    </row>
    <row r="13" spans="1:8" hidden="1" outlineLevel="2">
      <c r="B13" s="12" t="s">
        <v>8</v>
      </c>
      <c r="C13" s="11" t="s">
        <v>128</v>
      </c>
      <c r="D13" s="123"/>
      <c r="E13" s="21"/>
      <c r="F13" s="21"/>
      <c r="G13" s="21"/>
      <c r="H13" s="21"/>
    </row>
    <row r="14" spans="1:8" outlineLevel="1" collapsed="1">
      <c r="A14" s="117">
        <v>1</v>
      </c>
      <c r="B14" s="125" t="s">
        <v>23</v>
      </c>
      <c r="C14" s="11">
        <v>0</v>
      </c>
      <c r="D14" s="16">
        <v>146</v>
      </c>
      <c r="E14" s="126">
        <v>33</v>
      </c>
      <c r="F14" s="126">
        <v>32</v>
      </c>
      <c r="G14" s="126">
        <v>40</v>
      </c>
      <c r="H14" s="126">
        <v>41</v>
      </c>
    </row>
    <row r="15" spans="1:8" ht="15" hidden="1" customHeight="1" outlineLevel="2">
      <c r="B15" s="12" t="s">
        <v>129</v>
      </c>
      <c r="C15" s="11" t="s">
        <v>120</v>
      </c>
      <c r="D15" s="123">
        <v>31</v>
      </c>
      <c r="E15" s="21">
        <v>0</v>
      </c>
      <c r="F15" s="21">
        <v>6</v>
      </c>
      <c r="G15" s="21">
        <v>13</v>
      </c>
      <c r="H15" s="21">
        <v>12</v>
      </c>
    </row>
    <row r="16" spans="1:8" hidden="1" outlineLevel="2">
      <c r="B16" s="13" t="s">
        <v>129</v>
      </c>
      <c r="C16" s="18" t="s">
        <v>121</v>
      </c>
      <c r="D16" s="123"/>
      <c r="E16" s="115"/>
      <c r="F16" s="115"/>
      <c r="G16" s="115"/>
      <c r="H16" s="115"/>
    </row>
    <row r="17" spans="1:8" hidden="1" outlineLevel="2">
      <c r="B17" s="12" t="s">
        <v>129</v>
      </c>
      <c r="C17" s="11" t="s">
        <v>122</v>
      </c>
      <c r="D17" s="123"/>
      <c r="E17" s="21"/>
      <c r="F17" s="21"/>
      <c r="G17" s="21"/>
      <c r="H17" s="21"/>
    </row>
    <row r="18" spans="1:8" hidden="1" outlineLevel="2">
      <c r="B18" s="14" t="s">
        <v>129</v>
      </c>
      <c r="C18" s="19" t="s">
        <v>123</v>
      </c>
      <c r="D18" s="123"/>
      <c r="E18" s="124"/>
      <c r="F18" s="124"/>
      <c r="G18" s="124"/>
      <c r="H18" s="124"/>
    </row>
    <row r="19" spans="1:8" hidden="1" outlineLevel="2">
      <c r="B19" s="12" t="s">
        <v>129</v>
      </c>
      <c r="C19" s="11" t="s">
        <v>124</v>
      </c>
      <c r="D19" s="123"/>
      <c r="E19" s="21"/>
      <c r="F19" s="21"/>
      <c r="G19" s="21"/>
      <c r="H19" s="21"/>
    </row>
    <row r="20" spans="1:8" hidden="1" outlineLevel="2">
      <c r="B20" s="12" t="s">
        <v>129</v>
      </c>
      <c r="C20" s="11" t="s">
        <v>125</v>
      </c>
      <c r="D20" s="123"/>
      <c r="E20" s="21"/>
      <c r="F20" s="21"/>
      <c r="G20" s="21"/>
      <c r="H20" s="21"/>
    </row>
    <row r="21" spans="1:8" hidden="1" outlineLevel="2">
      <c r="B21" s="12" t="s">
        <v>129</v>
      </c>
      <c r="C21" s="11" t="s">
        <v>126</v>
      </c>
      <c r="D21" s="123"/>
      <c r="E21" s="21"/>
      <c r="F21" s="21"/>
      <c r="G21" s="21"/>
      <c r="H21" s="21"/>
    </row>
    <row r="22" spans="1:8" hidden="1" outlineLevel="2">
      <c r="B22" s="12" t="s">
        <v>129</v>
      </c>
      <c r="C22" s="11" t="s">
        <v>127</v>
      </c>
      <c r="D22" s="123"/>
      <c r="E22" s="21"/>
      <c r="F22" s="21"/>
      <c r="G22" s="21"/>
      <c r="H22" s="21"/>
    </row>
    <row r="23" spans="1:8" hidden="1" outlineLevel="2">
      <c r="B23" s="12" t="s">
        <v>129</v>
      </c>
      <c r="C23" s="11" t="s">
        <v>128</v>
      </c>
      <c r="D23" s="123"/>
      <c r="E23" s="21"/>
      <c r="F23" s="21"/>
      <c r="G23" s="21"/>
      <c r="H23" s="21"/>
    </row>
    <row r="24" spans="1:8" outlineLevel="1" collapsed="1">
      <c r="A24" s="117">
        <v>1</v>
      </c>
      <c r="B24" s="15" t="s">
        <v>130</v>
      </c>
      <c r="C24" s="11">
        <v>0</v>
      </c>
      <c r="D24" s="16">
        <v>31</v>
      </c>
      <c r="E24" s="126">
        <v>0</v>
      </c>
      <c r="F24" s="126">
        <v>6</v>
      </c>
      <c r="G24" s="126">
        <v>13</v>
      </c>
      <c r="H24" s="126">
        <v>12</v>
      </c>
    </row>
    <row r="25" spans="1:8" ht="15" hidden="1" customHeight="1" outlineLevel="2">
      <c r="B25" s="12" t="s">
        <v>131</v>
      </c>
      <c r="C25" s="11" t="s">
        <v>120</v>
      </c>
      <c r="D25" s="123">
        <v>81</v>
      </c>
      <c r="E25" s="20"/>
      <c r="F25" s="21">
        <v>27</v>
      </c>
      <c r="G25" s="21">
        <v>29</v>
      </c>
      <c r="H25" s="20">
        <v>25</v>
      </c>
    </row>
    <row r="26" spans="1:8" hidden="1" outlineLevel="2">
      <c r="B26" s="13" t="s">
        <v>131</v>
      </c>
      <c r="C26" s="18" t="s">
        <v>121</v>
      </c>
      <c r="D26" s="123">
        <v>2</v>
      </c>
      <c r="E26" s="114"/>
      <c r="F26" s="115">
        <v>0</v>
      </c>
      <c r="G26" s="115">
        <v>1</v>
      </c>
      <c r="H26" s="114">
        <v>1</v>
      </c>
    </row>
    <row r="27" spans="1:8" hidden="1" outlineLevel="2">
      <c r="B27" s="12" t="s">
        <v>131</v>
      </c>
      <c r="C27" s="11" t="s">
        <v>122</v>
      </c>
      <c r="D27" s="123">
        <v>1</v>
      </c>
      <c r="E27" s="20"/>
      <c r="F27" s="21">
        <v>0</v>
      </c>
      <c r="G27" s="21">
        <v>1</v>
      </c>
      <c r="H27" s="20">
        <v>0</v>
      </c>
    </row>
    <row r="28" spans="1:8" hidden="1" outlineLevel="2">
      <c r="B28" s="14" t="s">
        <v>131</v>
      </c>
      <c r="C28" s="19" t="s">
        <v>123</v>
      </c>
      <c r="D28" s="123">
        <v>1</v>
      </c>
      <c r="E28" s="123"/>
      <c r="F28" s="124"/>
      <c r="G28" s="124"/>
      <c r="H28" s="123">
        <v>1</v>
      </c>
    </row>
    <row r="29" spans="1:8" hidden="1" outlineLevel="2">
      <c r="B29" s="12" t="s">
        <v>131</v>
      </c>
      <c r="C29" s="11" t="s">
        <v>124</v>
      </c>
      <c r="D29" s="123">
        <v>2</v>
      </c>
      <c r="E29" s="20"/>
      <c r="F29" s="21">
        <v>0</v>
      </c>
      <c r="G29" s="21">
        <v>1</v>
      </c>
      <c r="H29" s="20">
        <v>1</v>
      </c>
    </row>
    <row r="30" spans="1:8" hidden="1" outlineLevel="2">
      <c r="B30" s="12" t="s">
        <v>131</v>
      </c>
      <c r="C30" s="11" t="s">
        <v>125</v>
      </c>
      <c r="D30" s="123">
        <v>1</v>
      </c>
      <c r="E30" s="20"/>
      <c r="F30" s="21"/>
      <c r="G30" s="21"/>
      <c r="H30" s="20">
        <v>1</v>
      </c>
    </row>
    <row r="31" spans="1:8" hidden="1" outlineLevel="2">
      <c r="B31" s="12" t="s">
        <v>131</v>
      </c>
      <c r="C31" s="11" t="s">
        <v>126</v>
      </c>
      <c r="D31" s="123">
        <v>1</v>
      </c>
      <c r="E31" s="20"/>
      <c r="F31" s="21">
        <v>0</v>
      </c>
      <c r="G31" s="21">
        <v>1</v>
      </c>
      <c r="H31" s="20"/>
    </row>
    <row r="32" spans="1:8" hidden="1" outlineLevel="2">
      <c r="B32" s="12" t="s">
        <v>131</v>
      </c>
      <c r="C32" s="11" t="s">
        <v>127</v>
      </c>
      <c r="D32" s="123">
        <v>1</v>
      </c>
      <c r="E32" s="20"/>
      <c r="F32" s="21"/>
      <c r="G32" s="21"/>
      <c r="H32" s="20">
        <v>1</v>
      </c>
    </row>
    <row r="33" spans="1:8" hidden="1" outlineLevel="2">
      <c r="B33" s="12" t="s">
        <v>131</v>
      </c>
      <c r="C33" s="11" t="s">
        <v>128</v>
      </c>
      <c r="D33" s="123"/>
      <c r="E33" s="20"/>
      <c r="F33" s="21"/>
      <c r="G33" s="21"/>
      <c r="H33" s="20"/>
    </row>
    <row r="34" spans="1:8" outlineLevel="1" collapsed="1">
      <c r="A34" s="117">
        <v>1</v>
      </c>
      <c r="B34" s="15" t="s">
        <v>132</v>
      </c>
      <c r="C34" s="11">
        <v>0</v>
      </c>
      <c r="D34" s="16">
        <v>90</v>
      </c>
      <c r="E34" s="126">
        <v>0</v>
      </c>
      <c r="F34" s="126">
        <v>27</v>
      </c>
      <c r="G34" s="126">
        <v>33</v>
      </c>
      <c r="H34" s="16">
        <v>30</v>
      </c>
    </row>
    <row r="35" spans="1:8" ht="15" hidden="1" customHeight="1" outlineLevel="2">
      <c r="B35" s="12" t="s">
        <v>30</v>
      </c>
      <c r="C35" s="11" t="s">
        <v>120</v>
      </c>
      <c r="D35" s="123">
        <v>298</v>
      </c>
      <c r="E35" s="20">
        <v>53</v>
      </c>
      <c r="F35" s="21">
        <v>66</v>
      </c>
      <c r="G35" s="21">
        <v>92</v>
      </c>
      <c r="H35" s="20">
        <v>87</v>
      </c>
    </row>
    <row r="36" spans="1:8" hidden="1" outlineLevel="2">
      <c r="B36" s="13" t="s">
        <v>30</v>
      </c>
      <c r="C36" s="18" t="s">
        <v>121</v>
      </c>
      <c r="D36" s="123">
        <v>1</v>
      </c>
      <c r="E36" s="114">
        <v>1</v>
      </c>
      <c r="F36" s="115"/>
      <c r="G36" s="115"/>
      <c r="H36" s="114"/>
    </row>
    <row r="37" spans="1:8" hidden="1" outlineLevel="2">
      <c r="B37" s="12" t="s">
        <v>30</v>
      </c>
      <c r="C37" s="11" t="s">
        <v>122</v>
      </c>
      <c r="D37" s="123"/>
      <c r="E37" s="20"/>
      <c r="F37" s="21"/>
      <c r="G37" s="21"/>
      <c r="H37" s="20"/>
    </row>
    <row r="38" spans="1:8" hidden="1" outlineLevel="2">
      <c r="B38" s="14" t="s">
        <v>30</v>
      </c>
      <c r="C38" s="19" t="s">
        <v>123</v>
      </c>
      <c r="D38" s="123"/>
      <c r="E38" s="123"/>
      <c r="F38" s="124"/>
      <c r="G38" s="124"/>
      <c r="H38" s="123"/>
    </row>
    <row r="39" spans="1:8" hidden="1" outlineLevel="2">
      <c r="B39" s="12" t="s">
        <v>30</v>
      </c>
      <c r="C39" s="11" t="s">
        <v>124</v>
      </c>
      <c r="D39" s="123">
        <v>30</v>
      </c>
      <c r="E39" s="20">
        <v>7</v>
      </c>
      <c r="F39" s="21">
        <v>7</v>
      </c>
      <c r="G39" s="21">
        <v>8</v>
      </c>
      <c r="H39" s="20">
        <v>8</v>
      </c>
    </row>
    <row r="40" spans="1:8" hidden="1" outlineLevel="2">
      <c r="B40" s="12" t="s">
        <v>30</v>
      </c>
      <c r="C40" s="11" t="s">
        <v>125</v>
      </c>
      <c r="D40" s="123"/>
      <c r="E40" s="20"/>
      <c r="F40" s="21"/>
      <c r="G40" s="21"/>
      <c r="H40" s="20"/>
    </row>
    <row r="41" spans="1:8" hidden="1" outlineLevel="2">
      <c r="B41" s="12" t="s">
        <v>30</v>
      </c>
      <c r="C41" s="11" t="s">
        <v>126</v>
      </c>
      <c r="D41" s="123">
        <v>12</v>
      </c>
      <c r="E41" s="20"/>
      <c r="F41" s="21">
        <v>0</v>
      </c>
      <c r="G41" s="21">
        <v>6</v>
      </c>
      <c r="H41" s="20">
        <v>6</v>
      </c>
    </row>
    <row r="42" spans="1:8" hidden="1" outlineLevel="2">
      <c r="B42" s="12" t="s">
        <v>30</v>
      </c>
      <c r="C42" s="11" t="s">
        <v>127</v>
      </c>
      <c r="D42" s="123"/>
      <c r="E42" s="20"/>
      <c r="F42" s="21"/>
      <c r="G42" s="21"/>
      <c r="H42" s="20"/>
    </row>
    <row r="43" spans="1:8" hidden="1" outlineLevel="2">
      <c r="B43" s="12" t="s">
        <v>30</v>
      </c>
      <c r="C43" s="11" t="s">
        <v>128</v>
      </c>
      <c r="D43" s="123"/>
      <c r="E43" s="20"/>
      <c r="F43" s="21"/>
      <c r="G43" s="21"/>
      <c r="H43" s="20"/>
    </row>
    <row r="44" spans="1:8" outlineLevel="1" collapsed="1">
      <c r="A44" s="117">
        <v>1</v>
      </c>
      <c r="B44" s="15" t="s">
        <v>31</v>
      </c>
      <c r="C44" s="11">
        <v>0</v>
      </c>
      <c r="D44" s="16">
        <v>341</v>
      </c>
      <c r="E44" s="126">
        <v>61</v>
      </c>
      <c r="F44" s="126">
        <v>73</v>
      </c>
      <c r="G44" s="126">
        <v>106</v>
      </c>
      <c r="H44" s="16">
        <v>101</v>
      </c>
    </row>
    <row r="45" spans="1:8" ht="15" hidden="1" customHeight="1" outlineLevel="2">
      <c r="B45" s="12" t="s">
        <v>133</v>
      </c>
      <c r="C45" s="11" t="s">
        <v>120</v>
      </c>
      <c r="D45" s="123">
        <v>1262</v>
      </c>
      <c r="E45" s="20">
        <v>303</v>
      </c>
      <c r="F45" s="21">
        <v>318</v>
      </c>
      <c r="G45" s="21">
        <v>269</v>
      </c>
      <c r="H45" s="20">
        <v>372</v>
      </c>
    </row>
    <row r="46" spans="1:8" hidden="1" outlineLevel="2">
      <c r="B46" s="13" t="s">
        <v>133</v>
      </c>
      <c r="C46" s="18" t="s">
        <v>121</v>
      </c>
      <c r="D46" s="123">
        <v>32</v>
      </c>
      <c r="E46" s="114">
        <v>8</v>
      </c>
      <c r="F46" s="115">
        <v>7</v>
      </c>
      <c r="G46" s="115">
        <v>8</v>
      </c>
      <c r="H46" s="114">
        <v>9</v>
      </c>
    </row>
    <row r="47" spans="1:8" hidden="1" outlineLevel="2">
      <c r="B47" s="12" t="s">
        <v>133</v>
      </c>
      <c r="C47" s="11" t="s">
        <v>122</v>
      </c>
      <c r="D47" s="123">
        <v>32</v>
      </c>
      <c r="E47" s="20">
        <v>6</v>
      </c>
      <c r="F47" s="21">
        <v>10</v>
      </c>
      <c r="G47" s="21">
        <v>7</v>
      </c>
      <c r="H47" s="20">
        <v>9</v>
      </c>
    </row>
    <row r="48" spans="1:8" hidden="1" outlineLevel="2">
      <c r="B48" s="14" t="s">
        <v>133</v>
      </c>
      <c r="C48" s="19" t="s">
        <v>123</v>
      </c>
      <c r="D48" s="123"/>
      <c r="E48" s="123"/>
      <c r="F48" s="124"/>
      <c r="G48" s="124"/>
      <c r="H48" s="123"/>
    </row>
    <row r="49" spans="1:8" hidden="1" outlineLevel="2">
      <c r="B49" s="12" t="s">
        <v>133</v>
      </c>
      <c r="C49" s="11" t="s">
        <v>124</v>
      </c>
      <c r="D49" s="123">
        <v>240</v>
      </c>
      <c r="E49" s="20">
        <v>59</v>
      </c>
      <c r="F49" s="21">
        <v>60</v>
      </c>
      <c r="G49" s="21">
        <v>56</v>
      </c>
      <c r="H49" s="20">
        <v>65</v>
      </c>
    </row>
    <row r="50" spans="1:8" hidden="1" outlineLevel="2">
      <c r="B50" s="12" t="s">
        <v>133</v>
      </c>
      <c r="C50" s="11" t="s">
        <v>125</v>
      </c>
      <c r="D50" s="123"/>
      <c r="E50" s="20"/>
      <c r="F50" s="21"/>
      <c r="G50" s="21"/>
      <c r="H50" s="20"/>
    </row>
    <row r="51" spans="1:8" hidden="1" outlineLevel="2">
      <c r="B51" s="12" t="s">
        <v>133</v>
      </c>
      <c r="C51" s="11" t="s">
        <v>126</v>
      </c>
      <c r="D51" s="123">
        <v>50</v>
      </c>
      <c r="E51" s="20">
        <v>13</v>
      </c>
      <c r="F51" s="21">
        <v>12</v>
      </c>
      <c r="G51" s="21">
        <v>15</v>
      </c>
      <c r="H51" s="20">
        <v>10</v>
      </c>
    </row>
    <row r="52" spans="1:8" hidden="1" outlineLevel="2">
      <c r="B52" s="12" t="s">
        <v>133</v>
      </c>
      <c r="C52" s="11" t="s">
        <v>127</v>
      </c>
      <c r="D52" s="123">
        <v>0</v>
      </c>
      <c r="E52" s="20"/>
      <c r="F52" s="21"/>
      <c r="G52" s="21"/>
      <c r="H52" s="20"/>
    </row>
    <row r="53" spans="1:8" hidden="1" outlineLevel="2">
      <c r="B53" s="12" t="s">
        <v>133</v>
      </c>
      <c r="C53" s="11" t="s">
        <v>128</v>
      </c>
      <c r="D53" s="123">
        <v>56</v>
      </c>
      <c r="E53" s="20">
        <v>11</v>
      </c>
      <c r="F53" s="21">
        <v>17</v>
      </c>
      <c r="G53" s="21">
        <v>13</v>
      </c>
      <c r="H53" s="20">
        <v>15</v>
      </c>
    </row>
    <row r="54" spans="1:8" outlineLevel="1" collapsed="1">
      <c r="A54" s="117">
        <v>1</v>
      </c>
      <c r="B54" s="15" t="s">
        <v>134</v>
      </c>
      <c r="C54" s="11">
        <v>0</v>
      </c>
      <c r="D54" s="16">
        <v>1672</v>
      </c>
      <c r="E54" s="126">
        <v>400</v>
      </c>
      <c r="F54" s="126">
        <v>424</v>
      </c>
      <c r="G54" s="126">
        <v>368</v>
      </c>
      <c r="H54" s="16">
        <v>480</v>
      </c>
    </row>
    <row r="55" spans="1:8" ht="15" hidden="1" customHeight="1" outlineLevel="2">
      <c r="B55" s="12" t="s">
        <v>135</v>
      </c>
      <c r="C55" s="11" t="s">
        <v>120</v>
      </c>
      <c r="D55" s="123">
        <v>323</v>
      </c>
      <c r="E55" s="20">
        <v>70</v>
      </c>
      <c r="F55" s="21">
        <v>79</v>
      </c>
      <c r="G55" s="21">
        <v>87</v>
      </c>
      <c r="H55" s="20">
        <v>87</v>
      </c>
    </row>
    <row r="56" spans="1:8" hidden="1" outlineLevel="2">
      <c r="B56" s="13" t="s">
        <v>135</v>
      </c>
      <c r="C56" s="18" t="s">
        <v>121</v>
      </c>
      <c r="D56" s="123">
        <v>9</v>
      </c>
      <c r="E56" s="114">
        <v>2</v>
      </c>
      <c r="F56" s="115">
        <v>2</v>
      </c>
      <c r="G56" s="115">
        <v>3</v>
      </c>
      <c r="H56" s="114">
        <v>2</v>
      </c>
    </row>
    <row r="57" spans="1:8" hidden="1" outlineLevel="2">
      <c r="B57" s="12" t="s">
        <v>135</v>
      </c>
      <c r="C57" s="11" t="s">
        <v>122</v>
      </c>
      <c r="D57" s="123"/>
      <c r="E57" s="21"/>
      <c r="F57" s="21"/>
      <c r="G57" s="21"/>
      <c r="H57" s="20"/>
    </row>
    <row r="58" spans="1:8" hidden="1" outlineLevel="2">
      <c r="B58" s="14" t="s">
        <v>135</v>
      </c>
      <c r="C58" s="19" t="s">
        <v>123</v>
      </c>
      <c r="D58" s="123"/>
      <c r="E58" s="124"/>
      <c r="F58" s="124"/>
      <c r="G58" s="124"/>
      <c r="H58" s="123"/>
    </row>
    <row r="59" spans="1:8" hidden="1" outlineLevel="2">
      <c r="B59" s="12" t="s">
        <v>135</v>
      </c>
      <c r="C59" s="11" t="s">
        <v>124</v>
      </c>
      <c r="D59" s="123"/>
      <c r="E59" s="21"/>
      <c r="F59" s="21"/>
      <c r="G59" s="21"/>
      <c r="H59" s="20"/>
    </row>
    <row r="60" spans="1:8" hidden="1" outlineLevel="2">
      <c r="B60" s="12" t="s">
        <v>135</v>
      </c>
      <c r="C60" s="11" t="s">
        <v>125</v>
      </c>
      <c r="D60" s="123"/>
      <c r="E60" s="21"/>
      <c r="F60" s="21"/>
      <c r="G60" s="21"/>
      <c r="H60" s="20"/>
    </row>
    <row r="61" spans="1:8" hidden="1" outlineLevel="2">
      <c r="B61" s="12" t="s">
        <v>135</v>
      </c>
      <c r="C61" s="11" t="s">
        <v>126</v>
      </c>
      <c r="D61" s="123"/>
      <c r="E61" s="21"/>
      <c r="F61" s="21"/>
      <c r="G61" s="21"/>
      <c r="H61" s="20"/>
    </row>
    <row r="62" spans="1:8" hidden="1" outlineLevel="2">
      <c r="B62" s="12" t="s">
        <v>135</v>
      </c>
      <c r="C62" s="11" t="s">
        <v>127</v>
      </c>
      <c r="D62" s="123"/>
      <c r="E62" s="21"/>
      <c r="F62" s="21"/>
      <c r="G62" s="21"/>
      <c r="H62" s="20"/>
    </row>
    <row r="63" spans="1:8" hidden="1" outlineLevel="2">
      <c r="B63" s="12" t="s">
        <v>135</v>
      </c>
      <c r="C63" s="11" t="s">
        <v>128</v>
      </c>
      <c r="D63" s="123"/>
      <c r="E63" s="21"/>
      <c r="F63" s="21"/>
      <c r="G63" s="21"/>
      <c r="H63" s="20"/>
    </row>
    <row r="64" spans="1:8" outlineLevel="1" collapsed="1">
      <c r="A64" s="117">
        <v>1</v>
      </c>
      <c r="B64" s="15" t="s">
        <v>136</v>
      </c>
      <c r="C64" s="11">
        <v>0</v>
      </c>
      <c r="D64" s="16">
        <v>332</v>
      </c>
      <c r="E64" s="126">
        <v>72</v>
      </c>
      <c r="F64" s="126">
        <v>81</v>
      </c>
      <c r="G64" s="126">
        <v>90</v>
      </c>
      <c r="H64" s="16">
        <v>89</v>
      </c>
    </row>
    <row r="65" spans="1:8" ht="15" hidden="1" customHeight="1" outlineLevel="2">
      <c r="B65" s="12" t="s">
        <v>36</v>
      </c>
      <c r="C65" s="11" t="s">
        <v>120</v>
      </c>
      <c r="D65" s="123">
        <v>105</v>
      </c>
      <c r="E65" s="21">
        <v>0</v>
      </c>
      <c r="F65" s="21">
        <v>10</v>
      </c>
      <c r="G65" s="21">
        <v>45</v>
      </c>
      <c r="H65" s="20">
        <v>50</v>
      </c>
    </row>
    <row r="66" spans="1:8" hidden="1" outlineLevel="2">
      <c r="B66" s="13" t="s">
        <v>36</v>
      </c>
      <c r="C66" s="18" t="s">
        <v>121</v>
      </c>
      <c r="D66" s="123"/>
      <c r="E66" s="115"/>
      <c r="F66" s="115"/>
      <c r="G66" s="115"/>
      <c r="H66" s="114"/>
    </row>
    <row r="67" spans="1:8" hidden="1" outlineLevel="2">
      <c r="B67" s="12" t="s">
        <v>36</v>
      </c>
      <c r="C67" s="11" t="s">
        <v>122</v>
      </c>
      <c r="D67" s="123"/>
      <c r="E67" s="21"/>
      <c r="F67" s="21"/>
      <c r="G67" s="21"/>
      <c r="H67" s="20"/>
    </row>
    <row r="68" spans="1:8" hidden="1" outlineLevel="2">
      <c r="B68" s="14" t="s">
        <v>36</v>
      </c>
      <c r="C68" s="19" t="s">
        <v>123</v>
      </c>
      <c r="D68" s="123"/>
      <c r="E68" s="124"/>
      <c r="F68" s="124"/>
      <c r="G68" s="124"/>
      <c r="H68" s="123"/>
    </row>
    <row r="69" spans="1:8" hidden="1" outlineLevel="2">
      <c r="B69" s="12" t="s">
        <v>36</v>
      </c>
      <c r="C69" s="11" t="s">
        <v>124</v>
      </c>
      <c r="D69" s="123"/>
      <c r="E69" s="21"/>
      <c r="F69" s="21"/>
      <c r="G69" s="21"/>
      <c r="H69" s="20"/>
    </row>
    <row r="70" spans="1:8" hidden="1" outlineLevel="2">
      <c r="B70" s="12" t="s">
        <v>36</v>
      </c>
      <c r="C70" s="11" t="s">
        <v>125</v>
      </c>
      <c r="D70" s="123"/>
      <c r="E70" s="21"/>
      <c r="F70" s="21"/>
      <c r="G70" s="21"/>
      <c r="H70" s="20"/>
    </row>
    <row r="71" spans="1:8" hidden="1" outlineLevel="2">
      <c r="B71" s="12" t="s">
        <v>36</v>
      </c>
      <c r="C71" s="11" t="s">
        <v>126</v>
      </c>
      <c r="D71" s="123"/>
      <c r="E71" s="21"/>
      <c r="F71" s="21"/>
      <c r="G71" s="21"/>
      <c r="H71" s="20"/>
    </row>
    <row r="72" spans="1:8" hidden="1" outlineLevel="2">
      <c r="B72" s="12" t="s">
        <v>36</v>
      </c>
      <c r="C72" s="11" t="s">
        <v>127</v>
      </c>
      <c r="D72" s="123"/>
      <c r="E72" s="21"/>
      <c r="F72" s="21"/>
      <c r="G72" s="21"/>
      <c r="H72" s="20"/>
    </row>
    <row r="73" spans="1:8" hidden="1" outlineLevel="2">
      <c r="B73" s="12" t="s">
        <v>36</v>
      </c>
      <c r="C73" s="11" t="s">
        <v>128</v>
      </c>
      <c r="D73" s="123"/>
      <c r="E73" s="21"/>
      <c r="F73" s="21"/>
      <c r="G73" s="21"/>
      <c r="H73" s="20"/>
    </row>
    <row r="74" spans="1:8" outlineLevel="1" collapsed="1">
      <c r="A74" s="117">
        <v>1</v>
      </c>
      <c r="B74" s="15" t="s">
        <v>37</v>
      </c>
      <c r="C74" s="11">
        <v>0</v>
      </c>
      <c r="D74" s="16">
        <v>105</v>
      </c>
      <c r="E74" s="126">
        <v>0</v>
      </c>
      <c r="F74" s="126">
        <v>10</v>
      </c>
      <c r="G74" s="126">
        <v>45</v>
      </c>
      <c r="H74" s="16">
        <v>50</v>
      </c>
    </row>
    <row r="75" spans="1:8" ht="15" hidden="1" customHeight="1" outlineLevel="2">
      <c r="B75" s="12" t="s">
        <v>38</v>
      </c>
      <c r="C75" s="11" t="s">
        <v>120</v>
      </c>
      <c r="D75" s="123">
        <v>1100</v>
      </c>
      <c r="E75" s="21">
        <v>267</v>
      </c>
      <c r="F75" s="21">
        <v>256</v>
      </c>
      <c r="G75" s="21">
        <v>285</v>
      </c>
      <c r="H75" s="20">
        <v>292</v>
      </c>
    </row>
    <row r="76" spans="1:8" hidden="1" outlineLevel="2">
      <c r="B76" s="13" t="s">
        <v>38</v>
      </c>
      <c r="C76" s="18" t="s">
        <v>121</v>
      </c>
      <c r="D76" s="123"/>
      <c r="E76" s="115"/>
      <c r="F76" s="115"/>
      <c r="G76" s="115"/>
      <c r="H76" s="114"/>
    </row>
    <row r="77" spans="1:8" hidden="1" outlineLevel="2">
      <c r="B77" s="12" t="s">
        <v>38</v>
      </c>
      <c r="C77" s="11" t="s">
        <v>122</v>
      </c>
      <c r="D77" s="123"/>
      <c r="E77" s="21"/>
      <c r="F77" s="21"/>
      <c r="G77" s="21"/>
      <c r="H77" s="20"/>
    </row>
    <row r="78" spans="1:8" hidden="1" outlineLevel="2">
      <c r="B78" s="14" t="s">
        <v>38</v>
      </c>
      <c r="C78" s="19" t="s">
        <v>123</v>
      </c>
      <c r="D78" s="123"/>
      <c r="E78" s="124"/>
      <c r="F78" s="124"/>
      <c r="G78" s="124"/>
      <c r="H78" s="123"/>
    </row>
    <row r="79" spans="1:8" hidden="1" outlineLevel="2">
      <c r="B79" s="12" t="s">
        <v>38</v>
      </c>
      <c r="C79" s="11" t="s">
        <v>124</v>
      </c>
      <c r="D79" s="123">
        <v>100</v>
      </c>
      <c r="E79" s="21"/>
      <c r="F79" s="21"/>
      <c r="G79" s="21">
        <v>67</v>
      </c>
      <c r="H79" s="20">
        <v>33</v>
      </c>
    </row>
    <row r="80" spans="1:8" hidden="1" outlineLevel="2">
      <c r="B80" s="12" t="s">
        <v>38</v>
      </c>
      <c r="C80" s="11" t="s">
        <v>125</v>
      </c>
      <c r="D80" s="123"/>
      <c r="E80" s="21"/>
      <c r="F80" s="21"/>
      <c r="G80" s="21"/>
      <c r="H80" s="20"/>
    </row>
    <row r="81" spans="1:8" hidden="1" outlineLevel="2">
      <c r="B81" s="12" t="s">
        <v>38</v>
      </c>
      <c r="C81" s="11" t="s">
        <v>126</v>
      </c>
      <c r="D81" s="123"/>
      <c r="E81" s="21"/>
      <c r="F81" s="21"/>
      <c r="G81" s="21"/>
      <c r="H81" s="20"/>
    </row>
    <row r="82" spans="1:8" hidden="1" outlineLevel="2">
      <c r="B82" s="12" t="s">
        <v>38</v>
      </c>
      <c r="C82" s="11" t="s">
        <v>127</v>
      </c>
      <c r="D82" s="123"/>
      <c r="E82" s="21"/>
      <c r="F82" s="21"/>
      <c r="G82" s="21"/>
      <c r="H82" s="20"/>
    </row>
    <row r="83" spans="1:8" hidden="1" outlineLevel="2">
      <c r="B83" s="12" t="s">
        <v>38</v>
      </c>
      <c r="C83" s="11" t="s">
        <v>128</v>
      </c>
      <c r="D83" s="123"/>
      <c r="E83" s="21"/>
      <c r="F83" s="21"/>
      <c r="G83" s="21"/>
      <c r="H83" s="20"/>
    </row>
    <row r="84" spans="1:8" outlineLevel="1" collapsed="1">
      <c r="A84" s="117">
        <v>1</v>
      </c>
      <c r="B84" s="15" t="s">
        <v>39</v>
      </c>
      <c r="C84" s="11">
        <v>0</v>
      </c>
      <c r="D84" s="16">
        <v>1200</v>
      </c>
      <c r="E84" s="126">
        <v>267</v>
      </c>
      <c r="F84" s="126">
        <v>256</v>
      </c>
      <c r="G84" s="126">
        <v>352</v>
      </c>
      <c r="H84" s="16">
        <v>325</v>
      </c>
    </row>
    <row r="85" spans="1:8" ht="15" hidden="1" customHeight="1" outlineLevel="2">
      <c r="B85" s="12" t="s">
        <v>40</v>
      </c>
      <c r="C85" s="11" t="s">
        <v>120</v>
      </c>
      <c r="D85" s="123">
        <v>141</v>
      </c>
      <c r="E85" s="21"/>
      <c r="F85" s="21"/>
      <c r="G85" s="21">
        <v>70</v>
      </c>
      <c r="H85" s="20">
        <v>71</v>
      </c>
    </row>
    <row r="86" spans="1:8" hidden="1" outlineLevel="2">
      <c r="B86" s="13" t="s">
        <v>40</v>
      </c>
      <c r="C86" s="18" t="s">
        <v>121</v>
      </c>
      <c r="D86" s="123"/>
      <c r="E86" s="115"/>
      <c r="F86" s="115"/>
      <c r="G86" s="115"/>
      <c r="H86" s="114"/>
    </row>
    <row r="87" spans="1:8" hidden="1" outlineLevel="2">
      <c r="B87" s="12" t="s">
        <v>40</v>
      </c>
      <c r="C87" s="11" t="s">
        <v>122</v>
      </c>
      <c r="D87" s="123"/>
      <c r="E87" s="21"/>
      <c r="F87" s="21"/>
      <c r="G87" s="21"/>
      <c r="H87" s="20"/>
    </row>
    <row r="88" spans="1:8" hidden="1" outlineLevel="2">
      <c r="B88" s="14" t="s">
        <v>40</v>
      </c>
      <c r="C88" s="19" t="s">
        <v>123</v>
      </c>
      <c r="D88" s="123"/>
      <c r="E88" s="124"/>
      <c r="F88" s="124"/>
      <c r="G88" s="124"/>
      <c r="H88" s="123"/>
    </row>
    <row r="89" spans="1:8" hidden="1" outlineLevel="2">
      <c r="B89" s="12" t="s">
        <v>40</v>
      </c>
      <c r="C89" s="11" t="s">
        <v>124</v>
      </c>
      <c r="D89" s="123">
        <v>30</v>
      </c>
      <c r="E89" s="21"/>
      <c r="F89" s="21"/>
      <c r="G89" s="21">
        <v>15</v>
      </c>
      <c r="H89" s="20">
        <v>15</v>
      </c>
    </row>
    <row r="90" spans="1:8" hidden="1" outlineLevel="2">
      <c r="B90" s="12" t="s">
        <v>40</v>
      </c>
      <c r="C90" s="11" t="s">
        <v>125</v>
      </c>
      <c r="D90" s="123"/>
      <c r="E90" s="21"/>
      <c r="F90" s="21"/>
      <c r="G90" s="21"/>
      <c r="H90" s="20"/>
    </row>
    <row r="91" spans="1:8" hidden="1" outlineLevel="2">
      <c r="B91" s="12" t="s">
        <v>40</v>
      </c>
      <c r="C91" s="11" t="s">
        <v>126</v>
      </c>
      <c r="D91" s="123"/>
      <c r="E91" s="21"/>
      <c r="F91" s="21"/>
      <c r="G91" s="21"/>
      <c r="H91" s="20"/>
    </row>
    <row r="92" spans="1:8" hidden="1" outlineLevel="2">
      <c r="B92" s="12" t="s">
        <v>40</v>
      </c>
      <c r="C92" s="11" t="s">
        <v>127</v>
      </c>
      <c r="D92" s="123"/>
      <c r="E92" s="21"/>
      <c r="F92" s="21"/>
      <c r="G92" s="21"/>
      <c r="H92" s="20"/>
    </row>
    <row r="93" spans="1:8" hidden="1" outlineLevel="2">
      <c r="B93" s="12" t="s">
        <v>40</v>
      </c>
      <c r="C93" s="11" t="s">
        <v>128</v>
      </c>
      <c r="D93" s="123"/>
      <c r="E93" s="21"/>
      <c r="F93" s="21"/>
      <c r="G93" s="21"/>
      <c r="H93" s="20"/>
    </row>
    <row r="94" spans="1:8" outlineLevel="1" collapsed="1">
      <c r="A94" s="117">
        <v>1</v>
      </c>
      <c r="B94" s="15" t="s">
        <v>41</v>
      </c>
      <c r="C94" s="11">
        <v>0</v>
      </c>
      <c r="D94" s="16">
        <v>171</v>
      </c>
      <c r="E94" s="126">
        <v>0</v>
      </c>
      <c r="F94" s="126">
        <v>0</v>
      </c>
      <c r="G94" s="126">
        <v>85</v>
      </c>
      <c r="H94" s="16">
        <v>86</v>
      </c>
    </row>
    <row r="95" spans="1:8" ht="15" hidden="1" customHeight="1" outlineLevel="2">
      <c r="B95" s="12" t="s">
        <v>42</v>
      </c>
      <c r="C95" s="11" t="s">
        <v>120</v>
      </c>
      <c r="D95" s="123">
        <v>759</v>
      </c>
      <c r="E95" s="21">
        <v>180</v>
      </c>
      <c r="F95" s="21">
        <v>192</v>
      </c>
      <c r="G95" s="21">
        <v>207</v>
      </c>
      <c r="H95" s="20">
        <v>180</v>
      </c>
    </row>
    <row r="96" spans="1:8" hidden="1" outlineLevel="2">
      <c r="B96" s="13" t="s">
        <v>42</v>
      </c>
      <c r="C96" s="18" t="s">
        <v>121</v>
      </c>
      <c r="D96" s="123"/>
      <c r="E96" s="115"/>
      <c r="F96" s="115"/>
      <c r="G96" s="115"/>
      <c r="H96" s="114"/>
    </row>
    <row r="97" spans="1:8" hidden="1" outlineLevel="2">
      <c r="B97" s="12" t="s">
        <v>42</v>
      </c>
      <c r="C97" s="11" t="s">
        <v>122</v>
      </c>
      <c r="D97" s="123"/>
      <c r="E97" s="21"/>
      <c r="F97" s="21"/>
      <c r="G97" s="21"/>
      <c r="H97" s="20"/>
    </row>
    <row r="98" spans="1:8" hidden="1" outlineLevel="2">
      <c r="B98" s="14" t="s">
        <v>42</v>
      </c>
      <c r="C98" s="19" t="s">
        <v>123</v>
      </c>
      <c r="D98" s="123"/>
      <c r="E98" s="124"/>
      <c r="F98" s="124"/>
      <c r="G98" s="124"/>
      <c r="H98" s="123"/>
    </row>
    <row r="99" spans="1:8" hidden="1" outlineLevel="2">
      <c r="B99" s="12" t="s">
        <v>42</v>
      </c>
      <c r="C99" s="11" t="s">
        <v>124</v>
      </c>
      <c r="D99" s="123">
        <v>159</v>
      </c>
      <c r="E99" s="21"/>
      <c r="F99" s="21"/>
      <c r="G99" s="21">
        <v>124</v>
      </c>
      <c r="H99" s="20">
        <v>35</v>
      </c>
    </row>
    <row r="100" spans="1:8" hidden="1" outlineLevel="2">
      <c r="B100" s="12" t="s">
        <v>42</v>
      </c>
      <c r="C100" s="11" t="s">
        <v>125</v>
      </c>
      <c r="D100" s="123"/>
      <c r="E100" s="21"/>
      <c r="F100" s="21"/>
      <c r="G100" s="21"/>
      <c r="H100" s="20"/>
    </row>
    <row r="101" spans="1:8" hidden="1" outlineLevel="2">
      <c r="B101" s="12" t="s">
        <v>42</v>
      </c>
      <c r="C101" s="11" t="s">
        <v>126</v>
      </c>
      <c r="D101" s="123">
        <v>36</v>
      </c>
      <c r="E101" s="21"/>
      <c r="F101" s="21">
        <v>0</v>
      </c>
      <c r="G101" s="21">
        <v>28</v>
      </c>
      <c r="H101" s="20">
        <v>8</v>
      </c>
    </row>
    <row r="102" spans="1:8" hidden="1" outlineLevel="2">
      <c r="B102" s="12" t="s">
        <v>42</v>
      </c>
      <c r="C102" s="11" t="s">
        <v>127</v>
      </c>
      <c r="D102" s="123"/>
      <c r="E102" s="21"/>
      <c r="F102" s="21"/>
      <c r="G102" s="21"/>
      <c r="H102" s="20"/>
    </row>
    <row r="103" spans="1:8" hidden="1" outlineLevel="2">
      <c r="B103" s="12" t="s">
        <v>42</v>
      </c>
      <c r="C103" s="11" t="s">
        <v>128</v>
      </c>
      <c r="D103" s="123"/>
      <c r="E103" s="21"/>
      <c r="F103" s="21"/>
      <c r="G103" s="21"/>
      <c r="H103" s="20"/>
    </row>
    <row r="104" spans="1:8" outlineLevel="1" collapsed="1">
      <c r="A104" s="117">
        <v>1</v>
      </c>
      <c r="B104" s="15" t="s">
        <v>43</v>
      </c>
      <c r="C104" s="11">
        <v>0</v>
      </c>
      <c r="D104" s="16">
        <v>954</v>
      </c>
      <c r="E104" s="126">
        <v>180</v>
      </c>
      <c r="F104" s="126">
        <v>192</v>
      </c>
      <c r="G104" s="126">
        <v>359</v>
      </c>
      <c r="H104" s="16">
        <v>223</v>
      </c>
    </row>
    <row r="105" spans="1:8" ht="15" hidden="1" customHeight="1" outlineLevel="2">
      <c r="B105" s="12" t="s">
        <v>44</v>
      </c>
      <c r="C105" s="11" t="s">
        <v>120</v>
      </c>
      <c r="D105" s="123">
        <v>450</v>
      </c>
      <c r="E105" s="20">
        <v>40</v>
      </c>
      <c r="F105" s="21">
        <v>151</v>
      </c>
      <c r="G105" s="21">
        <v>145</v>
      </c>
      <c r="H105" s="20">
        <v>114</v>
      </c>
    </row>
    <row r="106" spans="1:8" hidden="1" outlineLevel="2">
      <c r="B106" s="13" t="s">
        <v>44</v>
      </c>
      <c r="C106" s="18" t="s">
        <v>121</v>
      </c>
      <c r="D106" s="123"/>
      <c r="E106" s="115"/>
      <c r="F106" s="115"/>
      <c r="G106" s="115"/>
      <c r="H106" s="114"/>
    </row>
    <row r="107" spans="1:8" hidden="1" outlineLevel="2">
      <c r="B107" s="12" t="s">
        <v>44</v>
      </c>
      <c r="C107" s="11" t="s">
        <v>122</v>
      </c>
      <c r="D107" s="123"/>
      <c r="E107" s="21"/>
      <c r="F107" s="21"/>
      <c r="G107" s="21"/>
      <c r="H107" s="20"/>
    </row>
    <row r="108" spans="1:8" hidden="1" outlineLevel="2">
      <c r="B108" s="14" t="s">
        <v>44</v>
      </c>
      <c r="C108" s="19" t="s">
        <v>123</v>
      </c>
      <c r="D108" s="123"/>
      <c r="E108" s="124"/>
      <c r="F108" s="124"/>
      <c r="G108" s="124"/>
      <c r="H108" s="123"/>
    </row>
    <row r="109" spans="1:8" hidden="1" outlineLevel="2">
      <c r="B109" s="12" t="s">
        <v>44</v>
      </c>
      <c r="C109" s="11" t="s">
        <v>124</v>
      </c>
      <c r="D109" s="123"/>
      <c r="E109" s="21"/>
      <c r="F109" s="21"/>
      <c r="G109" s="21"/>
      <c r="H109" s="20"/>
    </row>
    <row r="110" spans="1:8" hidden="1" outlineLevel="2">
      <c r="B110" s="12" t="s">
        <v>44</v>
      </c>
      <c r="C110" s="11" t="s">
        <v>125</v>
      </c>
      <c r="D110" s="123"/>
      <c r="E110" s="21"/>
      <c r="F110" s="21"/>
      <c r="G110" s="21"/>
      <c r="H110" s="20"/>
    </row>
    <row r="111" spans="1:8" hidden="1" outlineLevel="2">
      <c r="B111" s="12" t="s">
        <v>44</v>
      </c>
      <c r="C111" s="11" t="s">
        <v>126</v>
      </c>
      <c r="D111" s="123"/>
      <c r="E111" s="21"/>
      <c r="F111" s="21"/>
      <c r="G111" s="21"/>
      <c r="H111" s="20"/>
    </row>
    <row r="112" spans="1:8" hidden="1" outlineLevel="2">
      <c r="B112" s="12" t="s">
        <v>44</v>
      </c>
      <c r="C112" s="11" t="s">
        <v>127</v>
      </c>
      <c r="D112" s="123"/>
      <c r="E112" s="21"/>
      <c r="F112" s="21"/>
      <c r="G112" s="21"/>
      <c r="H112" s="20"/>
    </row>
    <row r="113" spans="1:8" hidden="1" outlineLevel="2">
      <c r="B113" s="12" t="s">
        <v>44</v>
      </c>
      <c r="C113" s="11" t="s">
        <v>128</v>
      </c>
      <c r="D113" s="123"/>
      <c r="E113" s="21"/>
      <c r="F113" s="21"/>
      <c r="G113" s="21"/>
      <c r="H113" s="20"/>
    </row>
    <row r="114" spans="1:8" outlineLevel="1" collapsed="1">
      <c r="A114" s="117">
        <v>1</v>
      </c>
      <c r="B114" s="15" t="s">
        <v>45</v>
      </c>
      <c r="C114" s="11">
        <v>0</v>
      </c>
      <c r="D114" s="16">
        <v>450</v>
      </c>
      <c r="E114" s="126">
        <v>40</v>
      </c>
      <c r="F114" s="126">
        <v>151</v>
      </c>
      <c r="G114" s="126">
        <v>145</v>
      </c>
      <c r="H114" s="16">
        <v>114</v>
      </c>
    </row>
    <row r="115" spans="1:8" ht="15" hidden="1" customHeight="1" outlineLevel="2">
      <c r="B115" s="12" t="s">
        <v>137</v>
      </c>
      <c r="C115" s="11" t="s">
        <v>120</v>
      </c>
      <c r="D115" s="123">
        <v>471</v>
      </c>
      <c r="E115" s="20">
        <v>110</v>
      </c>
      <c r="F115" s="21">
        <v>115</v>
      </c>
      <c r="G115" s="21">
        <v>145</v>
      </c>
      <c r="H115" s="20">
        <v>101</v>
      </c>
    </row>
    <row r="116" spans="1:8" hidden="1" outlineLevel="2">
      <c r="B116" s="13" t="s">
        <v>137</v>
      </c>
      <c r="C116" s="18" t="s">
        <v>121</v>
      </c>
      <c r="D116" s="123">
        <v>5</v>
      </c>
      <c r="E116" s="114"/>
      <c r="F116" s="115">
        <v>3</v>
      </c>
      <c r="G116" s="115">
        <v>1</v>
      </c>
      <c r="H116" s="114">
        <v>1</v>
      </c>
    </row>
    <row r="117" spans="1:8" hidden="1" outlineLevel="2">
      <c r="B117" s="12" t="s">
        <v>137</v>
      </c>
      <c r="C117" s="11" t="s">
        <v>122</v>
      </c>
      <c r="D117" s="123"/>
      <c r="E117" s="20"/>
      <c r="F117" s="21"/>
      <c r="G117" s="21"/>
      <c r="H117" s="20"/>
    </row>
    <row r="118" spans="1:8" hidden="1" outlineLevel="2">
      <c r="B118" s="14" t="s">
        <v>137</v>
      </c>
      <c r="C118" s="19" t="s">
        <v>123</v>
      </c>
      <c r="D118" s="123"/>
      <c r="E118" s="123"/>
      <c r="F118" s="124"/>
      <c r="G118" s="124"/>
      <c r="H118" s="123"/>
    </row>
    <row r="119" spans="1:8" hidden="1" outlineLevel="2">
      <c r="B119" s="12" t="s">
        <v>137</v>
      </c>
      <c r="C119" s="11" t="s">
        <v>124</v>
      </c>
      <c r="D119" s="123">
        <v>111</v>
      </c>
      <c r="E119" s="20">
        <v>29</v>
      </c>
      <c r="F119" s="21">
        <v>24</v>
      </c>
      <c r="G119" s="21">
        <v>25</v>
      </c>
      <c r="H119" s="20">
        <v>33</v>
      </c>
    </row>
    <row r="120" spans="1:8" hidden="1" outlineLevel="2">
      <c r="B120" s="12" t="s">
        <v>137</v>
      </c>
      <c r="C120" s="11" t="s">
        <v>125</v>
      </c>
      <c r="D120" s="123"/>
      <c r="E120" s="20"/>
      <c r="F120" s="21"/>
      <c r="G120" s="21"/>
      <c r="H120" s="20"/>
    </row>
    <row r="121" spans="1:8" hidden="1" outlineLevel="2">
      <c r="B121" s="12" t="s">
        <v>137</v>
      </c>
      <c r="C121" s="11" t="s">
        <v>126</v>
      </c>
      <c r="D121" s="123"/>
      <c r="E121" s="20"/>
      <c r="F121" s="21"/>
      <c r="G121" s="21"/>
      <c r="H121" s="20"/>
    </row>
    <row r="122" spans="1:8" hidden="1" outlineLevel="2">
      <c r="B122" s="12" t="s">
        <v>137</v>
      </c>
      <c r="C122" s="11" t="s">
        <v>127</v>
      </c>
      <c r="D122" s="123"/>
      <c r="E122" s="20"/>
      <c r="F122" s="21"/>
      <c r="G122" s="21"/>
      <c r="H122" s="20"/>
    </row>
    <row r="123" spans="1:8" hidden="1" outlineLevel="2">
      <c r="B123" s="12" t="s">
        <v>137</v>
      </c>
      <c r="C123" s="11" t="s">
        <v>128</v>
      </c>
      <c r="D123" s="123"/>
      <c r="E123" s="20"/>
      <c r="F123" s="21"/>
      <c r="G123" s="21"/>
      <c r="H123" s="20"/>
    </row>
    <row r="124" spans="1:8" outlineLevel="1" collapsed="1">
      <c r="A124" s="117">
        <v>1</v>
      </c>
      <c r="B124" s="15" t="s">
        <v>138</v>
      </c>
      <c r="C124" s="11">
        <v>0</v>
      </c>
      <c r="D124" s="16">
        <v>587</v>
      </c>
      <c r="E124" s="126">
        <v>139</v>
      </c>
      <c r="F124" s="126">
        <v>142</v>
      </c>
      <c r="G124" s="126">
        <v>171</v>
      </c>
      <c r="H124" s="16">
        <v>135</v>
      </c>
    </row>
    <row r="125" spans="1:8" ht="15" hidden="1" customHeight="1" outlineLevel="2">
      <c r="B125" s="12" t="s">
        <v>139</v>
      </c>
      <c r="C125" s="11" t="s">
        <v>120</v>
      </c>
      <c r="D125" s="123">
        <v>839</v>
      </c>
      <c r="E125" s="20">
        <v>192</v>
      </c>
      <c r="F125" s="21">
        <v>212</v>
      </c>
      <c r="G125" s="21">
        <v>218</v>
      </c>
      <c r="H125" s="20">
        <v>217</v>
      </c>
    </row>
    <row r="126" spans="1:8" hidden="1" outlineLevel="2">
      <c r="B126" s="13" t="s">
        <v>139</v>
      </c>
      <c r="C126" s="18" t="s">
        <v>121</v>
      </c>
      <c r="D126" s="123">
        <v>29</v>
      </c>
      <c r="E126" s="114">
        <v>9</v>
      </c>
      <c r="F126" s="115">
        <v>5</v>
      </c>
      <c r="G126" s="115">
        <v>7</v>
      </c>
      <c r="H126" s="114">
        <v>8</v>
      </c>
    </row>
    <row r="127" spans="1:8" hidden="1" outlineLevel="2">
      <c r="B127" s="12" t="s">
        <v>139</v>
      </c>
      <c r="C127" s="11" t="s">
        <v>122</v>
      </c>
      <c r="D127" s="123">
        <v>20</v>
      </c>
      <c r="E127" s="20">
        <v>6</v>
      </c>
      <c r="F127" s="21">
        <v>5</v>
      </c>
      <c r="G127" s="21">
        <v>6</v>
      </c>
      <c r="H127" s="20">
        <v>3</v>
      </c>
    </row>
    <row r="128" spans="1:8" hidden="1" outlineLevel="2">
      <c r="B128" s="14" t="s">
        <v>139</v>
      </c>
      <c r="C128" s="19" t="s">
        <v>123</v>
      </c>
      <c r="D128" s="123"/>
      <c r="E128" s="123"/>
      <c r="F128" s="124"/>
      <c r="G128" s="124"/>
      <c r="H128" s="123"/>
    </row>
    <row r="129" spans="1:8" hidden="1" outlineLevel="2">
      <c r="B129" s="12" t="s">
        <v>139</v>
      </c>
      <c r="C129" s="11" t="s">
        <v>124</v>
      </c>
      <c r="D129" s="123">
        <v>66</v>
      </c>
      <c r="E129" s="20">
        <v>19</v>
      </c>
      <c r="F129" s="21">
        <v>12</v>
      </c>
      <c r="G129" s="21">
        <v>18</v>
      </c>
      <c r="H129" s="20">
        <v>17</v>
      </c>
    </row>
    <row r="130" spans="1:8" hidden="1" outlineLevel="2">
      <c r="B130" s="12" t="s">
        <v>139</v>
      </c>
      <c r="C130" s="11" t="s">
        <v>125</v>
      </c>
      <c r="D130" s="123"/>
      <c r="E130" s="20"/>
      <c r="F130" s="21"/>
      <c r="G130" s="21"/>
      <c r="H130" s="20"/>
    </row>
    <row r="131" spans="1:8" hidden="1" outlineLevel="2">
      <c r="B131" s="12" t="s">
        <v>139</v>
      </c>
      <c r="C131" s="11" t="s">
        <v>126</v>
      </c>
      <c r="D131" s="123">
        <v>45</v>
      </c>
      <c r="E131" s="20">
        <v>13</v>
      </c>
      <c r="F131" s="21">
        <v>9</v>
      </c>
      <c r="G131" s="21">
        <v>13</v>
      </c>
      <c r="H131" s="20">
        <v>10</v>
      </c>
    </row>
    <row r="132" spans="1:8" hidden="1" outlineLevel="2">
      <c r="B132" s="12" t="s">
        <v>139</v>
      </c>
      <c r="C132" s="11" t="s">
        <v>127</v>
      </c>
      <c r="D132" s="123"/>
      <c r="E132" s="20"/>
      <c r="F132" s="21"/>
      <c r="G132" s="21"/>
      <c r="H132" s="20"/>
    </row>
    <row r="133" spans="1:8" hidden="1" outlineLevel="2">
      <c r="B133" s="12" t="s">
        <v>139</v>
      </c>
      <c r="C133" s="11" t="s">
        <v>128</v>
      </c>
      <c r="D133" s="123"/>
      <c r="E133" s="20"/>
      <c r="F133" s="21"/>
      <c r="G133" s="21"/>
      <c r="H133" s="20"/>
    </row>
    <row r="134" spans="1:8" outlineLevel="1" collapsed="1">
      <c r="A134" s="117">
        <v>1</v>
      </c>
      <c r="B134" s="15" t="s">
        <v>140</v>
      </c>
      <c r="C134" s="11">
        <v>0</v>
      </c>
      <c r="D134" s="16">
        <v>999</v>
      </c>
      <c r="E134" s="126">
        <v>239</v>
      </c>
      <c r="F134" s="126">
        <v>243</v>
      </c>
      <c r="G134" s="126">
        <v>262</v>
      </c>
      <c r="H134" s="16">
        <v>255</v>
      </c>
    </row>
    <row r="135" spans="1:8" ht="15" hidden="1" customHeight="1" outlineLevel="2">
      <c r="B135" s="12" t="s">
        <v>54</v>
      </c>
      <c r="C135" s="11" t="s">
        <v>120</v>
      </c>
      <c r="D135" s="123">
        <v>286</v>
      </c>
      <c r="E135" s="20">
        <v>81</v>
      </c>
      <c r="F135" s="21">
        <v>60</v>
      </c>
      <c r="G135" s="21">
        <v>76</v>
      </c>
      <c r="H135" s="20">
        <v>69</v>
      </c>
    </row>
    <row r="136" spans="1:8" hidden="1" outlineLevel="2">
      <c r="B136" s="13" t="s">
        <v>54</v>
      </c>
      <c r="C136" s="18" t="s">
        <v>121</v>
      </c>
      <c r="D136" s="123">
        <v>5</v>
      </c>
      <c r="E136" s="114">
        <v>1</v>
      </c>
      <c r="F136" s="115">
        <v>1</v>
      </c>
      <c r="G136" s="115">
        <v>1</v>
      </c>
      <c r="H136" s="114">
        <v>2</v>
      </c>
    </row>
    <row r="137" spans="1:8" hidden="1" outlineLevel="2">
      <c r="B137" s="12" t="s">
        <v>54</v>
      </c>
      <c r="C137" s="11" t="s">
        <v>122</v>
      </c>
      <c r="D137" s="123"/>
      <c r="E137" s="21"/>
      <c r="F137" s="21"/>
      <c r="G137" s="21"/>
      <c r="H137" s="20"/>
    </row>
    <row r="138" spans="1:8" hidden="1" outlineLevel="2">
      <c r="B138" s="14" t="s">
        <v>54</v>
      </c>
      <c r="C138" s="19" t="s">
        <v>123</v>
      </c>
      <c r="D138" s="123"/>
      <c r="E138" s="124"/>
      <c r="F138" s="124"/>
      <c r="G138" s="124"/>
      <c r="H138" s="123"/>
    </row>
    <row r="139" spans="1:8" hidden="1" outlineLevel="2">
      <c r="B139" s="12" t="s">
        <v>54</v>
      </c>
      <c r="C139" s="11" t="s">
        <v>124</v>
      </c>
      <c r="D139" s="123">
        <v>2</v>
      </c>
      <c r="E139" s="21">
        <v>0</v>
      </c>
      <c r="F139" s="21">
        <v>1</v>
      </c>
      <c r="G139" s="21">
        <v>1</v>
      </c>
      <c r="H139" s="20">
        <v>0</v>
      </c>
    </row>
    <row r="140" spans="1:8" hidden="1" outlineLevel="2">
      <c r="B140" s="12" t="s">
        <v>54</v>
      </c>
      <c r="C140" s="11" t="s">
        <v>125</v>
      </c>
      <c r="D140" s="123"/>
      <c r="E140" s="21"/>
      <c r="F140" s="21"/>
      <c r="G140" s="21"/>
      <c r="H140" s="20"/>
    </row>
    <row r="141" spans="1:8" hidden="1" outlineLevel="2">
      <c r="B141" s="12" t="s">
        <v>54</v>
      </c>
      <c r="C141" s="11" t="s">
        <v>126</v>
      </c>
      <c r="D141" s="123"/>
      <c r="E141" s="21"/>
      <c r="F141" s="21"/>
      <c r="G141" s="21"/>
      <c r="H141" s="20"/>
    </row>
    <row r="142" spans="1:8" hidden="1" outlineLevel="2">
      <c r="B142" s="12" t="s">
        <v>54</v>
      </c>
      <c r="C142" s="11" t="s">
        <v>127</v>
      </c>
      <c r="D142" s="123"/>
      <c r="E142" s="21"/>
      <c r="F142" s="21"/>
      <c r="G142" s="21"/>
      <c r="H142" s="20"/>
    </row>
    <row r="143" spans="1:8" hidden="1" outlineLevel="2">
      <c r="B143" s="12" t="s">
        <v>54</v>
      </c>
      <c r="C143" s="11" t="s">
        <v>128</v>
      </c>
      <c r="D143" s="123"/>
      <c r="E143" s="21"/>
      <c r="F143" s="21"/>
      <c r="G143" s="21"/>
      <c r="H143" s="20"/>
    </row>
    <row r="144" spans="1:8" outlineLevel="1" collapsed="1">
      <c r="A144" s="117">
        <v>1</v>
      </c>
      <c r="B144" s="15" t="s">
        <v>55</v>
      </c>
      <c r="C144" s="11">
        <v>0</v>
      </c>
      <c r="D144" s="16">
        <v>293</v>
      </c>
      <c r="E144" s="126">
        <v>82</v>
      </c>
      <c r="F144" s="126">
        <v>62</v>
      </c>
      <c r="G144" s="126">
        <v>78</v>
      </c>
      <c r="H144" s="16">
        <v>71</v>
      </c>
    </row>
    <row r="145" spans="1:8" ht="15" hidden="1" customHeight="1" outlineLevel="2">
      <c r="B145" s="12" t="s">
        <v>56</v>
      </c>
      <c r="C145" s="11" t="s">
        <v>120</v>
      </c>
      <c r="D145" s="123">
        <v>184</v>
      </c>
      <c r="E145" s="21">
        <v>50</v>
      </c>
      <c r="F145" s="21">
        <v>41</v>
      </c>
      <c r="G145" s="21">
        <v>43</v>
      </c>
      <c r="H145" s="20">
        <v>50</v>
      </c>
    </row>
    <row r="146" spans="1:8" hidden="1" outlineLevel="2">
      <c r="B146" s="13" t="s">
        <v>56</v>
      </c>
      <c r="C146" s="18" t="s">
        <v>121</v>
      </c>
      <c r="D146" s="123">
        <v>20</v>
      </c>
      <c r="E146" s="115">
        <v>8</v>
      </c>
      <c r="F146" s="115">
        <v>3</v>
      </c>
      <c r="G146" s="115">
        <v>6</v>
      </c>
      <c r="H146" s="114">
        <v>3</v>
      </c>
    </row>
    <row r="147" spans="1:8" hidden="1" outlineLevel="2">
      <c r="B147" s="12" t="s">
        <v>56</v>
      </c>
      <c r="C147" s="11" t="s">
        <v>122</v>
      </c>
      <c r="D147" s="123"/>
      <c r="E147" s="21"/>
      <c r="F147" s="21"/>
      <c r="G147" s="21"/>
      <c r="H147" s="20"/>
    </row>
    <row r="148" spans="1:8" hidden="1" outlineLevel="2">
      <c r="B148" s="14" t="s">
        <v>56</v>
      </c>
      <c r="C148" s="19" t="s">
        <v>123</v>
      </c>
      <c r="D148" s="123"/>
      <c r="E148" s="124"/>
      <c r="F148" s="124"/>
      <c r="G148" s="124"/>
      <c r="H148" s="123"/>
    </row>
    <row r="149" spans="1:8" hidden="1" outlineLevel="2">
      <c r="B149" s="12" t="s">
        <v>56</v>
      </c>
      <c r="C149" s="11" t="s">
        <v>124</v>
      </c>
      <c r="D149" s="123"/>
      <c r="E149" s="21"/>
      <c r="F149" s="21"/>
      <c r="G149" s="21"/>
      <c r="H149" s="20"/>
    </row>
    <row r="150" spans="1:8" hidden="1" outlineLevel="2">
      <c r="B150" s="12" t="s">
        <v>56</v>
      </c>
      <c r="C150" s="11" t="s">
        <v>125</v>
      </c>
      <c r="D150" s="123"/>
      <c r="E150" s="21"/>
      <c r="F150" s="21"/>
      <c r="G150" s="21"/>
      <c r="H150" s="20"/>
    </row>
    <row r="151" spans="1:8" hidden="1" outlineLevel="2">
      <c r="B151" s="12" t="s">
        <v>56</v>
      </c>
      <c r="C151" s="11" t="s">
        <v>126</v>
      </c>
      <c r="D151" s="123"/>
      <c r="E151" s="21"/>
      <c r="F151" s="21"/>
      <c r="G151" s="21"/>
      <c r="H151" s="20"/>
    </row>
    <row r="152" spans="1:8" hidden="1" outlineLevel="2">
      <c r="B152" s="12" t="s">
        <v>56</v>
      </c>
      <c r="C152" s="11" t="s">
        <v>127</v>
      </c>
      <c r="D152" s="123"/>
      <c r="E152" s="21"/>
      <c r="F152" s="21"/>
      <c r="G152" s="21"/>
      <c r="H152" s="20"/>
    </row>
    <row r="153" spans="1:8" hidden="1" outlineLevel="2">
      <c r="B153" s="12" t="s">
        <v>56</v>
      </c>
      <c r="C153" s="11" t="s">
        <v>128</v>
      </c>
      <c r="D153" s="123"/>
      <c r="E153" s="21"/>
      <c r="F153" s="21"/>
      <c r="G153" s="21"/>
      <c r="H153" s="20"/>
    </row>
    <row r="154" spans="1:8" outlineLevel="1" collapsed="1">
      <c r="A154" s="117">
        <v>1</v>
      </c>
      <c r="B154" s="15" t="s">
        <v>57</v>
      </c>
      <c r="C154" s="11">
        <v>0</v>
      </c>
      <c r="D154" s="16">
        <v>204</v>
      </c>
      <c r="E154" s="126">
        <v>58</v>
      </c>
      <c r="F154" s="126">
        <v>44</v>
      </c>
      <c r="G154" s="126">
        <v>49</v>
      </c>
      <c r="H154" s="16">
        <v>53</v>
      </c>
    </row>
    <row r="155" spans="1:8" ht="15" hidden="1" customHeight="1" outlineLevel="2">
      <c r="B155" s="12" t="s">
        <v>141</v>
      </c>
      <c r="C155" s="11" t="s">
        <v>120</v>
      </c>
      <c r="D155" s="123">
        <v>961</v>
      </c>
      <c r="E155" s="20">
        <v>188</v>
      </c>
      <c r="F155" s="21">
        <v>263</v>
      </c>
      <c r="G155" s="21">
        <v>289</v>
      </c>
      <c r="H155" s="20">
        <v>221</v>
      </c>
    </row>
    <row r="156" spans="1:8" hidden="1" outlineLevel="2">
      <c r="B156" s="13" t="s">
        <v>141</v>
      </c>
      <c r="C156" s="18" t="s">
        <v>121</v>
      </c>
      <c r="D156" s="123">
        <v>2</v>
      </c>
      <c r="E156" s="114">
        <v>0</v>
      </c>
      <c r="F156" s="115">
        <v>0</v>
      </c>
      <c r="G156" s="115">
        <v>1</v>
      </c>
      <c r="H156" s="114">
        <v>1</v>
      </c>
    </row>
    <row r="157" spans="1:8" hidden="1" outlineLevel="2">
      <c r="B157" s="12" t="s">
        <v>141</v>
      </c>
      <c r="C157" s="11" t="s">
        <v>122</v>
      </c>
      <c r="D157" s="123">
        <v>16</v>
      </c>
      <c r="E157" s="20">
        <v>3</v>
      </c>
      <c r="F157" s="21">
        <v>3</v>
      </c>
      <c r="G157" s="21">
        <v>3</v>
      </c>
      <c r="H157" s="20">
        <v>7</v>
      </c>
    </row>
    <row r="158" spans="1:8" hidden="1" outlineLevel="2">
      <c r="B158" s="14" t="s">
        <v>141</v>
      </c>
      <c r="C158" s="19" t="s">
        <v>123</v>
      </c>
      <c r="D158" s="123"/>
      <c r="E158" s="123"/>
      <c r="F158" s="124"/>
      <c r="G158" s="124"/>
      <c r="H158" s="123"/>
    </row>
    <row r="159" spans="1:8" hidden="1" outlineLevel="2">
      <c r="B159" s="12" t="s">
        <v>141</v>
      </c>
      <c r="C159" s="11" t="s">
        <v>124</v>
      </c>
      <c r="D159" s="123">
        <v>20</v>
      </c>
      <c r="E159" s="20">
        <v>0</v>
      </c>
      <c r="F159" s="21">
        <v>7</v>
      </c>
      <c r="G159" s="21">
        <v>10</v>
      </c>
      <c r="H159" s="20">
        <v>3</v>
      </c>
    </row>
    <row r="160" spans="1:8" hidden="1" outlineLevel="2">
      <c r="B160" s="12" t="s">
        <v>141</v>
      </c>
      <c r="C160" s="11" t="s">
        <v>125</v>
      </c>
      <c r="D160" s="123"/>
      <c r="E160" s="20"/>
      <c r="F160" s="21"/>
      <c r="G160" s="21"/>
      <c r="H160" s="20"/>
    </row>
    <row r="161" spans="1:8" hidden="1" outlineLevel="2">
      <c r="B161" s="12" t="s">
        <v>141</v>
      </c>
      <c r="C161" s="11" t="s">
        <v>126</v>
      </c>
      <c r="D161" s="123">
        <v>107</v>
      </c>
      <c r="E161" s="20">
        <v>24</v>
      </c>
      <c r="F161" s="21">
        <v>27</v>
      </c>
      <c r="G161" s="21">
        <v>30</v>
      </c>
      <c r="H161" s="20">
        <v>26</v>
      </c>
    </row>
    <row r="162" spans="1:8" hidden="1" outlineLevel="2">
      <c r="B162" s="12" t="s">
        <v>141</v>
      </c>
      <c r="C162" s="11" t="s">
        <v>127</v>
      </c>
      <c r="D162" s="123"/>
      <c r="E162" s="20"/>
      <c r="F162" s="21"/>
      <c r="G162" s="21"/>
      <c r="H162" s="20"/>
    </row>
    <row r="163" spans="1:8" hidden="1" outlineLevel="2">
      <c r="B163" s="12" t="s">
        <v>141</v>
      </c>
      <c r="C163" s="11" t="s">
        <v>128</v>
      </c>
      <c r="D163" s="123"/>
      <c r="E163" s="20"/>
      <c r="F163" s="21"/>
      <c r="G163" s="21"/>
      <c r="H163" s="20"/>
    </row>
    <row r="164" spans="1:8" outlineLevel="1" collapsed="1">
      <c r="A164" s="117">
        <v>1</v>
      </c>
      <c r="B164" s="15" t="s">
        <v>142</v>
      </c>
      <c r="C164" s="11">
        <v>0</v>
      </c>
      <c r="D164" s="16">
        <v>1106</v>
      </c>
      <c r="E164" s="126">
        <v>215</v>
      </c>
      <c r="F164" s="126">
        <v>300</v>
      </c>
      <c r="G164" s="126">
        <v>333</v>
      </c>
      <c r="H164" s="16">
        <v>258</v>
      </c>
    </row>
    <row r="165" spans="1:8" ht="15" hidden="1" customHeight="1" outlineLevel="2">
      <c r="B165" s="12" t="s">
        <v>60</v>
      </c>
      <c r="C165" s="11" t="s">
        <v>120</v>
      </c>
      <c r="D165" s="123">
        <v>522</v>
      </c>
      <c r="E165" s="20">
        <v>84</v>
      </c>
      <c r="F165" s="21">
        <v>101</v>
      </c>
      <c r="G165" s="21">
        <v>150</v>
      </c>
      <c r="H165" s="20">
        <v>187</v>
      </c>
    </row>
    <row r="166" spans="1:8" hidden="1" outlineLevel="2">
      <c r="B166" s="13" t="s">
        <v>60</v>
      </c>
      <c r="C166" s="18" t="s">
        <v>121</v>
      </c>
      <c r="D166" s="123">
        <v>6</v>
      </c>
      <c r="E166" s="114">
        <v>3</v>
      </c>
      <c r="F166" s="115">
        <v>0</v>
      </c>
      <c r="G166" s="115">
        <v>1</v>
      </c>
      <c r="H166" s="114">
        <v>2</v>
      </c>
    </row>
    <row r="167" spans="1:8" hidden="1" outlineLevel="2">
      <c r="B167" s="12" t="s">
        <v>60</v>
      </c>
      <c r="C167" s="11" t="s">
        <v>122</v>
      </c>
      <c r="D167" s="123"/>
      <c r="E167" s="20"/>
      <c r="F167" s="21"/>
      <c r="G167" s="21"/>
      <c r="H167" s="20"/>
    </row>
    <row r="168" spans="1:8" hidden="1" outlineLevel="2">
      <c r="B168" s="14" t="s">
        <v>60</v>
      </c>
      <c r="C168" s="19" t="s">
        <v>123</v>
      </c>
      <c r="D168" s="123"/>
      <c r="E168" s="123"/>
      <c r="F168" s="124"/>
      <c r="G168" s="124"/>
      <c r="H168" s="123"/>
    </row>
    <row r="169" spans="1:8" hidden="1" outlineLevel="2">
      <c r="B169" s="12" t="s">
        <v>60</v>
      </c>
      <c r="C169" s="11" t="s">
        <v>124</v>
      </c>
      <c r="D169" s="123">
        <v>150</v>
      </c>
      <c r="E169" s="20">
        <v>26</v>
      </c>
      <c r="F169" s="21">
        <v>38</v>
      </c>
      <c r="G169" s="21">
        <v>40</v>
      </c>
      <c r="H169" s="20">
        <v>46</v>
      </c>
    </row>
    <row r="170" spans="1:8" hidden="1" outlineLevel="2">
      <c r="B170" s="12" t="s">
        <v>60</v>
      </c>
      <c r="C170" s="11" t="s">
        <v>125</v>
      </c>
      <c r="D170" s="123"/>
      <c r="E170" s="21"/>
      <c r="F170" s="21"/>
      <c r="G170" s="21"/>
      <c r="H170" s="20"/>
    </row>
    <row r="171" spans="1:8" hidden="1" outlineLevel="2">
      <c r="B171" s="12" t="s">
        <v>60</v>
      </c>
      <c r="C171" s="11" t="s">
        <v>126</v>
      </c>
      <c r="D171" s="123"/>
      <c r="E171" s="21"/>
      <c r="F171" s="21"/>
      <c r="G171" s="21"/>
      <c r="H171" s="20"/>
    </row>
    <row r="172" spans="1:8" hidden="1" outlineLevel="2">
      <c r="B172" s="12" t="s">
        <v>60</v>
      </c>
      <c r="C172" s="11" t="s">
        <v>127</v>
      </c>
      <c r="D172" s="123"/>
      <c r="E172" s="21"/>
      <c r="F172" s="21"/>
      <c r="G172" s="21"/>
      <c r="H172" s="20"/>
    </row>
    <row r="173" spans="1:8" hidden="1" outlineLevel="2">
      <c r="B173" s="12" t="s">
        <v>60</v>
      </c>
      <c r="C173" s="11" t="s">
        <v>128</v>
      </c>
      <c r="D173" s="123"/>
      <c r="E173" s="21"/>
      <c r="F173" s="21"/>
      <c r="G173" s="21"/>
      <c r="H173" s="20"/>
    </row>
    <row r="174" spans="1:8" outlineLevel="1" collapsed="1">
      <c r="A174" s="117">
        <v>1</v>
      </c>
      <c r="B174" s="15" t="s">
        <v>61</v>
      </c>
      <c r="C174" s="11">
        <v>0</v>
      </c>
      <c r="D174" s="16">
        <v>678</v>
      </c>
      <c r="E174" s="126">
        <v>113</v>
      </c>
      <c r="F174" s="126">
        <v>139</v>
      </c>
      <c r="G174" s="126">
        <v>191</v>
      </c>
      <c r="H174" s="16">
        <v>235</v>
      </c>
    </row>
    <row r="175" spans="1:8" ht="15" hidden="1" customHeight="1" outlineLevel="2">
      <c r="B175" s="12" t="s">
        <v>143</v>
      </c>
      <c r="C175" s="11" t="s">
        <v>120</v>
      </c>
      <c r="D175" s="123">
        <v>838</v>
      </c>
      <c r="E175" s="20">
        <v>203</v>
      </c>
      <c r="F175" s="21">
        <v>210</v>
      </c>
      <c r="G175" s="21">
        <v>250</v>
      </c>
      <c r="H175" s="20">
        <v>175</v>
      </c>
    </row>
    <row r="176" spans="1:8" hidden="1" outlineLevel="2">
      <c r="B176" s="13" t="s">
        <v>143</v>
      </c>
      <c r="C176" s="18" t="s">
        <v>121</v>
      </c>
      <c r="D176" s="123">
        <v>2</v>
      </c>
      <c r="E176" s="114">
        <v>1</v>
      </c>
      <c r="F176" s="115"/>
      <c r="G176" s="115">
        <v>0</v>
      </c>
      <c r="H176" s="114">
        <v>1</v>
      </c>
    </row>
    <row r="177" spans="1:8" hidden="1" outlineLevel="2">
      <c r="B177" s="12" t="s">
        <v>143</v>
      </c>
      <c r="C177" s="11" t="s">
        <v>122</v>
      </c>
      <c r="D177" s="123">
        <v>2</v>
      </c>
      <c r="E177" s="20"/>
      <c r="F177" s="21">
        <v>1</v>
      </c>
      <c r="G177" s="21">
        <v>0</v>
      </c>
      <c r="H177" s="20">
        <v>1</v>
      </c>
    </row>
    <row r="178" spans="1:8" hidden="1" outlineLevel="2">
      <c r="B178" s="14" t="s">
        <v>143</v>
      </c>
      <c r="C178" s="19" t="s">
        <v>123</v>
      </c>
      <c r="D178" s="123"/>
      <c r="E178" s="123"/>
      <c r="F178" s="124"/>
      <c r="G178" s="124"/>
      <c r="H178" s="123"/>
    </row>
    <row r="179" spans="1:8" hidden="1" outlineLevel="2">
      <c r="B179" s="12" t="s">
        <v>143</v>
      </c>
      <c r="C179" s="11" t="s">
        <v>124</v>
      </c>
      <c r="D179" s="123">
        <v>205</v>
      </c>
      <c r="E179" s="20">
        <v>51</v>
      </c>
      <c r="F179" s="21">
        <v>53</v>
      </c>
      <c r="G179" s="21">
        <v>49</v>
      </c>
      <c r="H179" s="20">
        <v>52</v>
      </c>
    </row>
    <row r="180" spans="1:8" hidden="1" outlineLevel="2">
      <c r="B180" s="12" t="s">
        <v>143</v>
      </c>
      <c r="C180" s="11" t="s">
        <v>125</v>
      </c>
      <c r="D180" s="123"/>
      <c r="E180" s="20"/>
      <c r="F180" s="21"/>
      <c r="G180" s="21"/>
      <c r="H180" s="20"/>
    </row>
    <row r="181" spans="1:8" hidden="1" outlineLevel="2">
      <c r="B181" s="12" t="s">
        <v>143</v>
      </c>
      <c r="C181" s="11" t="s">
        <v>126</v>
      </c>
      <c r="D181" s="123">
        <v>30</v>
      </c>
      <c r="E181" s="20">
        <v>6</v>
      </c>
      <c r="F181" s="21">
        <v>10</v>
      </c>
      <c r="G181" s="21">
        <v>7</v>
      </c>
      <c r="H181" s="20">
        <v>7</v>
      </c>
    </row>
    <row r="182" spans="1:8" hidden="1" outlineLevel="2">
      <c r="B182" s="12" t="s">
        <v>143</v>
      </c>
      <c r="C182" s="11" t="s">
        <v>127</v>
      </c>
      <c r="D182" s="123"/>
      <c r="E182" s="20"/>
      <c r="F182" s="21"/>
      <c r="G182" s="21"/>
      <c r="H182" s="20"/>
    </row>
    <row r="183" spans="1:8" hidden="1" outlineLevel="2">
      <c r="B183" s="12" t="s">
        <v>143</v>
      </c>
      <c r="C183" s="11" t="s">
        <v>128</v>
      </c>
      <c r="D183" s="123"/>
      <c r="E183" s="20"/>
      <c r="F183" s="21"/>
      <c r="G183" s="21"/>
      <c r="H183" s="20"/>
    </row>
    <row r="184" spans="1:8" outlineLevel="1" collapsed="1">
      <c r="A184" s="117">
        <v>1</v>
      </c>
      <c r="B184" s="15" t="s">
        <v>144</v>
      </c>
      <c r="C184" s="11">
        <v>0</v>
      </c>
      <c r="D184" s="16">
        <v>1077</v>
      </c>
      <c r="E184" s="126">
        <v>261</v>
      </c>
      <c r="F184" s="126">
        <v>274</v>
      </c>
      <c r="G184" s="126">
        <v>306</v>
      </c>
      <c r="H184" s="16">
        <v>236</v>
      </c>
    </row>
    <row r="185" spans="1:8" ht="15" hidden="1" customHeight="1" outlineLevel="2">
      <c r="B185" s="12" t="s">
        <v>145</v>
      </c>
      <c r="C185" s="11" t="s">
        <v>120</v>
      </c>
      <c r="D185" s="123">
        <v>270</v>
      </c>
      <c r="E185" s="20">
        <v>80</v>
      </c>
      <c r="F185" s="21">
        <v>71</v>
      </c>
      <c r="G185" s="21">
        <v>61</v>
      </c>
      <c r="H185" s="20">
        <v>58</v>
      </c>
    </row>
    <row r="186" spans="1:8" hidden="1" outlineLevel="2">
      <c r="B186" s="13" t="s">
        <v>145</v>
      </c>
      <c r="C186" s="18" t="s">
        <v>121</v>
      </c>
      <c r="D186" s="123"/>
      <c r="E186" s="114"/>
      <c r="F186" s="115"/>
      <c r="G186" s="115"/>
      <c r="H186" s="114"/>
    </row>
    <row r="187" spans="1:8" hidden="1" outlineLevel="2">
      <c r="B187" s="12" t="s">
        <v>145</v>
      </c>
      <c r="C187" s="11" t="s">
        <v>122</v>
      </c>
      <c r="D187" s="123"/>
      <c r="E187" s="20"/>
      <c r="F187" s="21"/>
      <c r="G187" s="21"/>
      <c r="H187" s="20"/>
    </row>
    <row r="188" spans="1:8" hidden="1" outlineLevel="2">
      <c r="B188" s="14" t="s">
        <v>145</v>
      </c>
      <c r="C188" s="19" t="s">
        <v>123</v>
      </c>
      <c r="D188" s="123"/>
      <c r="E188" s="123"/>
      <c r="F188" s="124"/>
      <c r="G188" s="124"/>
      <c r="H188" s="123"/>
    </row>
    <row r="189" spans="1:8" hidden="1" outlineLevel="2">
      <c r="B189" s="12" t="s">
        <v>145</v>
      </c>
      <c r="C189" s="11" t="s">
        <v>124</v>
      </c>
      <c r="D189" s="123">
        <v>15</v>
      </c>
      <c r="E189" s="20">
        <v>8</v>
      </c>
      <c r="F189" s="21">
        <v>0</v>
      </c>
      <c r="G189" s="21">
        <v>4</v>
      </c>
      <c r="H189" s="20">
        <v>3</v>
      </c>
    </row>
    <row r="190" spans="1:8" hidden="1" outlineLevel="2">
      <c r="B190" s="12" t="s">
        <v>145</v>
      </c>
      <c r="C190" s="11" t="s">
        <v>125</v>
      </c>
      <c r="D190" s="123"/>
      <c r="E190" s="20"/>
      <c r="F190" s="21"/>
      <c r="G190" s="21"/>
      <c r="H190" s="20"/>
    </row>
    <row r="191" spans="1:8" hidden="1" outlineLevel="2">
      <c r="B191" s="12" t="s">
        <v>145</v>
      </c>
      <c r="C191" s="11" t="s">
        <v>126</v>
      </c>
      <c r="D191" s="123"/>
      <c r="E191" s="20"/>
      <c r="F191" s="21"/>
      <c r="G191" s="21"/>
      <c r="H191" s="20"/>
    </row>
    <row r="192" spans="1:8" hidden="1" outlineLevel="2">
      <c r="B192" s="12" t="s">
        <v>145</v>
      </c>
      <c r="C192" s="11" t="s">
        <v>127</v>
      </c>
      <c r="D192" s="123"/>
      <c r="E192" s="20"/>
      <c r="F192" s="21"/>
      <c r="G192" s="21"/>
      <c r="H192" s="20"/>
    </row>
    <row r="193" spans="1:8" hidden="1" outlineLevel="2">
      <c r="B193" s="12" t="s">
        <v>145</v>
      </c>
      <c r="C193" s="11" t="s">
        <v>128</v>
      </c>
      <c r="D193" s="123"/>
      <c r="E193" s="20"/>
      <c r="F193" s="21"/>
      <c r="G193" s="21"/>
      <c r="H193" s="20"/>
    </row>
    <row r="194" spans="1:8" outlineLevel="1" collapsed="1">
      <c r="A194" s="117">
        <v>1</v>
      </c>
      <c r="B194" s="15" t="s">
        <v>146</v>
      </c>
      <c r="C194" s="11">
        <v>0</v>
      </c>
      <c r="D194" s="16">
        <v>285</v>
      </c>
      <c r="E194" s="126">
        <v>88</v>
      </c>
      <c r="F194" s="126">
        <v>71</v>
      </c>
      <c r="G194" s="126">
        <v>65</v>
      </c>
      <c r="H194" s="16">
        <v>61</v>
      </c>
    </row>
    <row r="195" spans="1:8" ht="15" hidden="1" customHeight="1" outlineLevel="2">
      <c r="B195" s="12" t="s">
        <v>147</v>
      </c>
      <c r="C195" s="11" t="s">
        <v>120</v>
      </c>
      <c r="D195" s="127">
        <v>534</v>
      </c>
      <c r="E195" s="113">
        <v>138</v>
      </c>
      <c r="F195" s="128">
        <v>138</v>
      </c>
      <c r="G195" s="128">
        <v>130</v>
      </c>
      <c r="H195" s="113">
        <v>128</v>
      </c>
    </row>
    <row r="196" spans="1:8" hidden="1" outlineLevel="2">
      <c r="B196" s="13" t="s">
        <v>147</v>
      </c>
      <c r="C196" s="18" t="s">
        <v>121</v>
      </c>
      <c r="D196" s="127">
        <v>20</v>
      </c>
      <c r="E196" s="129">
        <v>5</v>
      </c>
      <c r="F196" s="130">
        <v>6</v>
      </c>
      <c r="G196" s="130">
        <v>7</v>
      </c>
      <c r="H196" s="129">
        <v>2</v>
      </c>
    </row>
    <row r="197" spans="1:8" hidden="1" outlineLevel="2">
      <c r="B197" s="12" t="s">
        <v>147</v>
      </c>
      <c r="C197" s="11" t="s">
        <v>122</v>
      </c>
      <c r="D197" s="127"/>
      <c r="E197" s="128"/>
      <c r="F197" s="128"/>
      <c r="G197" s="128"/>
      <c r="H197" s="113"/>
    </row>
    <row r="198" spans="1:8" hidden="1" outlineLevel="2">
      <c r="B198" s="14" t="s">
        <v>147</v>
      </c>
      <c r="C198" s="19" t="s">
        <v>123</v>
      </c>
      <c r="D198" s="127"/>
      <c r="E198" s="131"/>
      <c r="F198" s="131"/>
      <c r="G198" s="131"/>
      <c r="H198" s="132"/>
    </row>
    <row r="199" spans="1:8" hidden="1" outlineLevel="2">
      <c r="B199" s="12" t="s">
        <v>147</v>
      </c>
      <c r="C199" s="11" t="s">
        <v>124</v>
      </c>
      <c r="D199" s="127"/>
      <c r="E199" s="128"/>
      <c r="F199" s="128"/>
      <c r="G199" s="128"/>
      <c r="H199" s="113"/>
    </row>
    <row r="200" spans="1:8" hidden="1" outlineLevel="2">
      <c r="B200" s="12" t="s">
        <v>147</v>
      </c>
      <c r="C200" s="11" t="s">
        <v>125</v>
      </c>
      <c r="D200" s="127"/>
      <c r="E200" s="128"/>
      <c r="F200" s="128"/>
      <c r="G200" s="128"/>
      <c r="H200" s="113"/>
    </row>
    <row r="201" spans="1:8" hidden="1" outlineLevel="2">
      <c r="B201" s="12" t="s">
        <v>147</v>
      </c>
      <c r="C201" s="11" t="s">
        <v>126</v>
      </c>
      <c r="D201" s="127"/>
      <c r="E201" s="128"/>
      <c r="F201" s="128"/>
      <c r="G201" s="128"/>
      <c r="H201" s="113"/>
    </row>
    <row r="202" spans="1:8" hidden="1" outlineLevel="2">
      <c r="B202" s="12" t="s">
        <v>147</v>
      </c>
      <c r="C202" s="11" t="s">
        <v>127</v>
      </c>
      <c r="D202" s="127"/>
      <c r="E202" s="128"/>
      <c r="F202" s="128"/>
      <c r="G202" s="128"/>
      <c r="H202" s="113"/>
    </row>
    <row r="203" spans="1:8" hidden="1" outlineLevel="2">
      <c r="B203" s="12" t="s">
        <v>147</v>
      </c>
      <c r="C203" s="11" t="s">
        <v>128</v>
      </c>
      <c r="D203" s="127"/>
      <c r="E203" s="128"/>
      <c r="F203" s="128"/>
      <c r="G203" s="128"/>
      <c r="H203" s="113"/>
    </row>
    <row r="204" spans="1:8" outlineLevel="1" collapsed="1">
      <c r="A204" s="117">
        <v>1</v>
      </c>
      <c r="B204" s="15" t="s">
        <v>148</v>
      </c>
      <c r="C204" s="11">
        <v>0</v>
      </c>
      <c r="D204" s="16">
        <v>554</v>
      </c>
      <c r="E204" s="126">
        <v>143</v>
      </c>
      <c r="F204" s="126">
        <v>144</v>
      </c>
      <c r="G204" s="126">
        <v>137</v>
      </c>
      <c r="H204" s="16">
        <v>130</v>
      </c>
    </row>
    <row r="205" spans="1:8" ht="15" hidden="1" customHeight="1" outlineLevel="2">
      <c r="B205" s="12" t="s">
        <v>149</v>
      </c>
      <c r="C205" s="11" t="s">
        <v>120</v>
      </c>
      <c r="D205" s="123">
        <v>204</v>
      </c>
      <c r="E205" s="20">
        <v>60</v>
      </c>
      <c r="F205" s="21">
        <v>40</v>
      </c>
      <c r="G205" s="21">
        <v>50</v>
      </c>
      <c r="H205" s="20">
        <v>54</v>
      </c>
    </row>
    <row r="206" spans="1:8" hidden="1" outlineLevel="2">
      <c r="B206" s="13" t="s">
        <v>149</v>
      </c>
      <c r="C206" s="18" t="s">
        <v>121</v>
      </c>
      <c r="D206" s="123"/>
      <c r="E206" s="114"/>
      <c r="F206" s="115"/>
      <c r="G206" s="115"/>
      <c r="H206" s="114"/>
    </row>
    <row r="207" spans="1:8" hidden="1" outlineLevel="2">
      <c r="B207" s="12" t="s">
        <v>149</v>
      </c>
      <c r="C207" s="11" t="s">
        <v>122</v>
      </c>
      <c r="D207" s="123"/>
      <c r="E207" s="20"/>
      <c r="F207" s="21"/>
      <c r="G207" s="21"/>
      <c r="H207" s="20"/>
    </row>
    <row r="208" spans="1:8" hidden="1" outlineLevel="2">
      <c r="B208" s="14" t="s">
        <v>149</v>
      </c>
      <c r="C208" s="19" t="s">
        <v>123</v>
      </c>
      <c r="D208" s="123"/>
      <c r="E208" s="123"/>
      <c r="F208" s="124"/>
      <c r="G208" s="124"/>
      <c r="H208" s="123"/>
    </row>
    <row r="209" spans="1:8" hidden="1" outlineLevel="2">
      <c r="B209" s="12" t="s">
        <v>149</v>
      </c>
      <c r="C209" s="11" t="s">
        <v>124</v>
      </c>
      <c r="D209" s="123">
        <v>4</v>
      </c>
      <c r="E209" s="20">
        <v>2</v>
      </c>
      <c r="F209" s="21"/>
      <c r="G209" s="21">
        <v>1</v>
      </c>
      <c r="H209" s="20">
        <v>1</v>
      </c>
    </row>
    <row r="210" spans="1:8" hidden="1" outlineLevel="2">
      <c r="B210" s="12" t="s">
        <v>149</v>
      </c>
      <c r="C210" s="11" t="s">
        <v>125</v>
      </c>
      <c r="D210" s="123"/>
      <c r="E210" s="20"/>
      <c r="F210" s="21"/>
      <c r="G210" s="21"/>
      <c r="H210" s="20"/>
    </row>
    <row r="211" spans="1:8" hidden="1" outlineLevel="2">
      <c r="B211" s="12" t="s">
        <v>149</v>
      </c>
      <c r="C211" s="11" t="s">
        <v>126</v>
      </c>
      <c r="D211" s="123">
        <v>75</v>
      </c>
      <c r="E211" s="20"/>
      <c r="F211" s="21"/>
      <c r="G211" s="21">
        <v>36</v>
      </c>
      <c r="H211" s="20">
        <v>39</v>
      </c>
    </row>
    <row r="212" spans="1:8" hidden="1" outlineLevel="2">
      <c r="B212" s="12" t="s">
        <v>149</v>
      </c>
      <c r="C212" s="11" t="s">
        <v>127</v>
      </c>
      <c r="D212" s="123"/>
      <c r="E212" s="20"/>
      <c r="F212" s="21"/>
      <c r="G212" s="21"/>
      <c r="H212" s="20"/>
    </row>
    <row r="213" spans="1:8" hidden="1" outlineLevel="2">
      <c r="B213" s="12" t="s">
        <v>149</v>
      </c>
      <c r="C213" s="11" t="s">
        <v>128</v>
      </c>
      <c r="D213" s="123"/>
      <c r="E213" s="20"/>
      <c r="F213" s="21"/>
      <c r="G213" s="21"/>
      <c r="H213" s="20"/>
    </row>
    <row r="214" spans="1:8" outlineLevel="1" collapsed="1">
      <c r="A214" s="117">
        <v>1</v>
      </c>
      <c r="B214" s="15" t="s">
        <v>150</v>
      </c>
      <c r="C214" s="11">
        <v>0</v>
      </c>
      <c r="D214" s="16">
        <v>283</v>
      </c>
      <c r="E214" s="126">
        <v>62</v>
      </c>
      <c r="F214" s="126">
        <v>40</v>
      </c>
      <c r="G214" s="126">
        <v>87</v>
      </c>
      <c r="H214" s="16">
        <v>94</v>
      </c>
    </row>
    <row r="215" spans="1:8" ht="15" hidden="1" customHeight="1" outlineLevel="2">
      <c r="B215" s="12" t="s">
        <v>151</v>
      </c>
      <c r="C215" s="11" t="s">
        <v>120</v>
      </c>
      <c r="D215" s="123">
        <v>138</v>
      </c>
      <c r="E215" s="21"/>
      <c r="F215" s="21">
        <v>48</v>
      </c>
      <c r="G215" s="21">
        <v>40</v>
      </c>
      <c r="H215" s="20">
        <v>50</v>
      </c>
    </row>
    <row r="216" spans="1:8" hidden="1" outlineLevel="2">
      <c r="B216" s="13" t="s">
        <v>151</v>
      </c>
      <c r="C216" s="18" t="s">
        <v>121</v>
      </c>
      <c r="D216" s="123"/>
      <c r="E216" s="115"/>
      <c r="F216" s="115"/>
      <c r="G216" s="115"/>
      <c r="H216" s="114"/>
    </row>
    <row r="217" spans="1:8" hidden="1" outlineLevel="2">
      <c r="B217" s="12" t="s">
        <v>151</v>
      </c>
      <c r="C217" s="11" t="s">
        <v>122</v>
      </c>
      <c r="D217" s="123"/>
      <c r="E217" s="21"/>
      <c r="F217" s="21"/>
      <c r="G217" s="21"/>
      <c r="H217" s="20"/>
    </row>
    <row r="218" spans="1:8" hidden="1" outlineLevel="2">
      <c r="B218" s="14" t="s">
        <v>151</v>
      </c>
      <c r="C218" s="19" t="s">
        <v>123</v>
      </c>
      <c r="D218" s="123"/>
      <c r="E218" s="124"/>
      <c r="F218" s="124"/>
      <c r="G218" s="124"/>
      <c r="H218" s="123"/>
    </row>
    <row r="219" spans="1:8" hidden="1" outlineLevel="2">
      <c r="B219" s="12" t="s">
        <v>151</v>
      </c>
      <c r="C219" s="11" t="s">
        <v>124</v>
      </c>
      <c r="D219" s="123">
        <v>11</v>
      </c>
      <c r="E219" s="21"/>
      <c r="F219" s="21">
        <v>5</v>
      </c>
      <c r="G219" s="21">
        <v>3</v>
      </c>
      <c r="H219" s="20">
        <v>3</v>
      </c>
    </row>
    <row r="220" spans="1:8" hidden="1" outlineLevel="2">
      <c r="B220" s="12" t="s">
        <v>151</v>
      </c>
      <c r="C220" s="11" t="s">
        <v>125</v>
      </c>
      <c r="D220" s="123"/>
      <c r="E220" s="21"/>
      <c r="F220" s="21"/>
      <c r="G220" s="21"/>
      <c r="H220" s="20"/>
    </row>
    <row r="221" spans="1:8" hidden="1" outlineLevel="2">
      <c r="B221" s="12" t="s">
        <v>151</v>
      </c>
      <c r="C221" s="11" t="s">
        <v>126</v>
      </c>
      <c r="D221" s="123">
        <v>0</v>
      </c>
      <c r="E221" s="21"/>
      <c r="F221" s="21"/>
      <c r="G221" s="21"/>
      <c r="H221" s="20"/>
    </row>
    <row r="222" spans="1:8" hidden="1" outlineLevel="2">
      <c r="B222" s="12" t="s">
        <v>151</v>
      </c>
      <c r="C222" s="11" t="s">
        <v>127</v>
      </c>
      <c r="D222" s="123"/>
      <c r="E222" s="21"/>
      <c r="F222" s="21"/>
      <c r="G222" s="21"/>
      <c r="H222" s="20"/>
    </row>
    <row r="223" spans="1:8" hidden="1" outlineLevel="2">
      <c r="B223" s="12" t="s">
        <v>151</v>
      </c>
      <c r="C223" s="11" t="s">
        <v>128</v>
      </c>
      <c r="D223" s="123"/>
      <c r="E223" s="21"/>
      <c r="F223" s="21"/>
      <c r="G223" s="21"/>
      <c r="H223" s="20"/>
    </row>
    <row r="224" spans="1:8" outlineLevel="1" collapsed="1">
      <c r="A224" s="117">
        <v>1</v>
      </c>
      <c r="B224" s="15" t="s">
        <v>152</v>
      </c>
      <c r="C224" s="11">
        <v>0</v>
      </c>
      <c r="D224" s="16">
        <v>149</v>
      </c>
      <c r="E224" s="126">
        <v>0</v>
      </c>
      <c r="F224" s="126">
        <v>53</v>
      </c>
      <c r="G224" s="126">
        <v>43</v>
      </c>
      <c r="H224" s="16">
        <v>53</v>
      </c>
    </row>
    <row r="225" spans="1:8" ht="15" hidden="1" customHeight="1" outlineLevel="2">
      <c r="B225" s="12" t="s">
        <v>153</v>
      </c>
      <c r="C225" s="11" t="s">
        <v>120</v>
      </c>
      <c r="D225" s="123">
        <v>779</v>
      </c>
      <c r="E225" s="20">
        <v>171</v>
      </c>
      <c r="F225" s="21">
        <v>218</v>
      </c>
      <c r="G225" s="21">
        <v>200</v>
      </c>
      <c r="H225" s="20">
        <v>190</v>
      </c>
    </row>
    <row r="226" spans="1:8" hidden="1" outlineLevel="2">
      <c r="B226" s="13" t="s">
        <v>153</v>
      </c>
      <c r="C226" s="18" t="s">
        <v>121</v>
      </c>
      <c r="D226" s="123">
        <v>14</v>
      </c>
      <c r="E226" s="114">
        <v>4</v>
      </c>
      <c r="F226" s="115">
        <v>4</v>
      </c>
      <c r="G226" s="115">
        <v>4</v>
      </c>
      <c r="H226" s="114">
        <v>2</v>
      </c>
    </row>
    <row r="227" spans="1:8" hidden="1" outlineLevel="2">
      <c r="B227" s="12" t="s">
        <v>153</v>
      </c>
      <c r="C227" s="11" t="s">
        <v>122</v>
      </c>
      <c r="D227" s="123"/>
      <c r="E227" s="20"/>
      <c r="F227" s="21"/>
      <c r="G227" s="21"/>
      <c r="H227" s="20"/>
    </row>
    <row r="228" spans="1:8" hidden="1" outlineLevel="2">
      <c r="B228" s="14" t="s">
        <v>153</v>
      </c>
      <c r="C228" s="19" t="s">
        <v>123</v>
      </c>
      <c r="D228" s="123"/>
      <c r="E228" s="123"/>
      <c r="F228" s="124"/>
      <c r="G228" s="124"/>
      <c r="H228" s="123"/>
    </row>
    <row r="229" spans="1:8" hidden="1" outlineLevel="2">
      <c r="B229" s="12" t="s">
        <v>153</v>
      </c>
      <c r="C229" s="11" t="s">
        <v>124</v>
      </c>
      <c r="D229" s="123">
        <v>91</v>
      </c>
      <c r="E229" s="20">
        <v>28</v>
      </c>
      <c r="F229" s="21">
        <v>20</v>
      </c>
      <c r="G229" s="21">
        <v>20</v>
      </c>
      <c r="H229" s="20">
        <v>23</v>
      </c>
    </row>
    <row r="230" spans="1:8" hidden="1" outlineLevel="2">
      <c r="B230" s="12" t="s">
        <v>153</v>
      </c>
      <c r="C230" s="11" t="s">
        <v>125</v>
      </c>
      <c r="D230" s="123"/>
      <c r="E230" s="20"/>
      <c r="F230" s="21"/>
      <c r="G230" s="21"/>
      <c r="H230" s="20"/>
    </row>
    <row r="231" spans="1:8" hidden="1" outlineLevel="2">
      <c r="B231" s="12" t="s">
        <v>153</v>
      </c>
      <c r="C231" s="11" t="s">
        <v>126</v>
      </c>
      <c r="D231" s="123">
        <v>7</v>
      </c>
      <c r="E231" s="20"/>
      <c r="F231" s="21">
        <v>1</v>
      </c>
      <c r="G231" s="21">
        <v>3</v>
      </c>
      <c r="H231" s="20">
        <v>3</v>
      </c>
    </row>
    <row r="232" spans="1:8" hidden="1" outlineLevel="2">
      <c r="B232" s="12" t="s">
        <v>153</v>
      </c>
      <c r="C232" s="11" t="s">
        <v>127</v>
      </c>
      <c r="D232" s="123"/>
      <c r="E232" s="20"/>
      <c r="F232" s="21"/>
      <c r="G232" s="21"/>
      <c r="H232" s="20"/>
    </row>
    <row r="233" spans="1:8" hidden="1" outlineLevel="2">
      <c r="B233" s="12" t="s">
        <v>153</v>
      </c>
      <c r="C233" s="11" t="s">
        <v>128</v>
      </c>
      <c r="D233" s="123"/>
      <c r="E233" s="20"/>
      <c r="F233" s="21"/>
      <c r="G233" s="21"/>
      <c r="H233" s="20"/>
    </row>
    <row r="234" spans="1:8" outlineLevel="1" collapsed="1">
      <c r="A234" s="117">
        <v>1</v>
      </c>
      <c r="B234" s="15" t="s">
        <v>154</v>
      </c>
      <c r="C234" s="11">
        <v>0</v>
      </c>
      <c r="D234" s="16">
        <v>891</v>
      </c>
      <c r="E234" s="126">
        <v>203</v>
      </c>
      <c r="F234" s="126">
        <v>243</v>
      </c>
      <c r="G234" s="126">
        <v>227</v>
      </c>
      <c r="H234" s="16">
        <v>218</v>
      </c>
    </row>
    <row r="235" spans="1:8" ht="15" hidden="1" customHeight="1" outlineLevel="2">
      <c r="B235" s="12" t="s">
        <v>155</v>
      </c>
      <c r="C235" s="11" t="s">
        <v>120</v>
      </c>
      <c r="D235" s="123">
        <v>2718</v>
      </c>
      <c r="E235" s="20">
        <v>671</v>
      </c>
      <c r="F235" s="21">
        <v>615</v>
      </c>
      <c r="G235" s="21">
        <v>823</v>
      </c>
      <c r="H235" s="20">
        <v>609</v>
      </c>
    </row>
    <row r="236" spans="1:8" hidden="1" outlineLevel="2">
      <c r="B236" s="13" t="s">
        <v>155</v>
      </c>
      <c r="C236" s="18" t="s">
        <v>121</v>
      </c>
      <c r="D236" s="123"/>
      <c r="E236" s="114"/>
      <c r="F236" s="115"/>
      <c r="G236" s="115"/>
      <c r="H236" s="114"/>
    </row>
    <row r="237" spans="1:8" hidden="1" outlineLevel="2">
      <c r="B237" s="12" t="s">
        <v>155</v>
      </c>
      <c r="C237" s="11" t="s">
        <v>122</v>
      </c>
      <c r="D237" s="123">
        <v>50</v>
      </c>
      <c r="E237" s="20"/>
      <c r="F237" s="21"/>
      <c r="G237" s="21">
        <v>25</v>
      </c>
      <c r="H237" s="20">
        <v>25</v>
      </c>
    </row>
    <row r="238" spans="1:8" hidden="1" outlineLevel="2">
      <c r="B238" s="14" t="s">
        <v>155</v>
      </c>
      <c r="C238" s="19" t="s">
        <v>123</v>
      </c>
      <c r="D238" s="123"/>
      <c r="E238" s="123"/>
      <c r="F238" s="124"/>
      <c r="G238" s="124"/>
      <c r="H238" s="123"/>
    </row>
    <row r="239" spans="1:8" hidden="1" outlineLevel="2">
      <c r="B239" s="12" t="s">
        <v>155</v>
      </c>
      <c r="C239" s="11" t="s">
        <v>124</v>
      </c>
      <c r="D239" s="123">
        <v>610</v>
      </c>
      <c r="E239" s="20">
        <v>134</v>
      </c>
      <c r="F239" s="21">
        <v>180</v>
      </c>
      <c r="G239" s="21">
        <v>160</v>
      </c>
      <c r="H239" s="20">
        <v>136</v>
      </c>
    </row>
    <row r="240" spans="1:8" hidden="1" outlineLevel="2">
      <c r="B240" s="12" t="s">
        <v>155</v>
      </c>
      <c r="C240" s="11" t="s">
        <v>125</v>
      </c>
      <c r="D240" s="123"/>
      <c r="E240" s="20"/>
      <c r="F240" s="21"/>
      <c r="G240" s="21"/>
      <c r="H240" s="20"/>
    </row>
    <row r="241" spans="1:8" hidden="1" outlineLevel="2">
      <c r="B241" s="12" t="s">
        <v>155</v>
      </c>
      <c r="C241" s="11" t="s">
        <v>126</v>
      </c>
      <c r="D241" s="123">
        <v>94</v>
      </c>
      <c r="E241" s="20">
        <v>16</v>
      </c>
      <c r="F241" s="21">
        <v>30</v>
      </c>
      <c r="G241" s="21">
        <v>48</v>
      </c>
      <c r="H241" s="20">
        <v>0</v>
      </c>
    </row>
    <row r="242" spans="1:8" hidden="1" outlineLevel="2">
      <c r="B242" s="12" t="s">
        <v>155</v>
      </c>
      <c r="C242" s="11" t="s">
        <v>127</v>
      </c>
      <c r="D242" s="123"/>
      <c r="E242" s="20"/>
      <c r="F242" s="21"/>
      <c r="G242" s="21"/>
      <c r="H242" s="20"/>
    </row>
    <row r="243" spans="1:8" hidden="1" outlineLevel="2">
      <c r="B243" s="12" t="s">
        <v>155</v>
      </c>
      <c r="C243" s="11" t="s">
        <v>128</v>
      </c>
      <c r="D243" s="123"/>
      <c r="E243" s="20"/>
      <c r="F243" s="21"/>
      <c r="G243" s="21"/>
      <c r="H243" s="20"/>
    </row>
    <row r="244" spans="1:8" outlineLevel="1" collapsed="1">
      <c r="A244" s="117">
        <v>1</v>
      </c>
      <c r="B244" s="15" t="s">
        <v>156</v>
      </c>
      <c r="C244" s="11">
        <v>0</v>
      </c>
      <c r="D244" s="16">
        <v>3472</v>
      </c>
      <c r="E244" s="126">
        <v>821</v>
      </c>
      <c r="F244" s="126">
        <v>825</v>
      </c>
      <c r="G244" s="126">
        <v>1056</v>
      </c>
      <c r="H244" s="16">
        <v>770</v>
      </c>
    </row>
    <row r="245" spans="1:8" ht="15" hidden="1" customHeight="1" outlineLevel="2">
      <c r="B245" s="12" t="s">
        <v>157</v>
      </c>
      <c r="C245" s="11" t="s">
        <v>120</v>
      </c>
      <c r="D245" s="123">
        <v>939</v>
      </c>
      <c r="E245" s="20">
        <v>217</v>
      </c>
      <c r="F245" s="21">
        <v>249</v>
      </c>
      <c r="G245" s="21">
        <v>250</v>
      </c>
      <c r="H245" s="20">
        <v>223</v>
      </c>
    </row>
    <row r="246" spans="1:8" hidden="1" outlineLevel="2">
      <c r="B246" s="13" t="s">
        <v>157</v>
      </c>
      <c r="C246" s="18" t="s">
        <v>121</v>
      </c>
      <c r="D246" s="123"/>
      <c r="E246" s="114"/>
      <c r="F246" s="115"/>
      <c r="G246" s="115"/>
      <c r="H246" s="114"/>
    </row>
    <row r="247" spans="1:8" hidden="1" outlineLevel="2">
      <c r="B247" s="12" t="s">
        <v>157</v>
      </c>
      <c r="C247" s="11" t="s">
        <v>122</v>
      </c>
      <c r="D247" s="123"/>
      <c r="E247" s="20"/>
      <c r="F247" s="21"/>
      <c r="G247" s="21"/>
      <c r="H247" s="20"/>
    </row>
    <row r="248" spans="1:8" hidden="1" outlineLevel="2">
      <c r="B248" s="14" t="s">
        <v>157</v>
      </c>
      <c r="C248" s="19" t="s">
        <v>123</v>
      </c>
      <c r="D248" s="123"/>
      <c r="E248" s="123"/>
      <c r="F248" s="124"/>
      <c r="G248" s="124"/>
      <c r="H248" s="123"/>
    </row>
    <row r="249" spans="1:8" hidden="1" outlineLevel="2">
      <c r="B249" s="12" t="s">
        <v>157</v>
      </c>
      <c r="C249" s="11" t="s">
        <v>124</v>
      </c>
      <c r="D249" s="123">
        <v>213</v>
      </c>
      <c r="E249" s="20">
        <v>68</v>
      </c>
      <c r="F249" s="21">
        <v>19</v>
      </c>
      <c r="G249" s="21">
        <v>80</v>
      </c>
      <c r="H249" s="20">
        <v>46</v>
      </c>
    </row>
    <row r="250" spans="1:8" hidden="1" outlineLevel="2">
      <c r="B250" s="12" t="s">
        <v>157</v>
      </c>
      <c r="C250" s="11" t="s">
        <v>125</v>
      </c>
      <c r="D250" s="123"/>
      <c r="E250" s="20"/>
      <c r="F250" s="21"/>
      <c r="G250" s="21"/>
      <c r="H250" s="20"/>
    </row>
    <row r="251" spans="1:8" hidden="1" outlineLevel="2">
      <c r="B251" s="12" t="s">
        <v>157</v>
      </c>
      <c r="C251" s="11" t="s">
        <v>126</v>
      </c>
      <c r="D251" s="123">
        <v>0</v>
      </c>
      <c r="E251" s="20">
        <v>0</v>
      </c>
      <c r="F251" s="21">
        <v>0</v>
      </c>
      <c r="G251" s="21"/>
      <c r="H251" s="20"/>
    </row>
    <row r="252" spans="1:8" hidden="1" outlineLevel="2">
      <c r="B252" s="12" t="s">
        <v>157</v>
      </c>
      <c r="C252" s="11" t="s">
        <v>127</v>
      </c>
      <c r="D252" s="123"/>
      <c r="E252" s="20"/>
      <c r="F252" s="21"/>
      <c r="G252" s="21"/>
      <c r="H252" s="20"/>
    </row>
    <row r="253" spans="1:8" hidden="1" outlineLevel="2">
      <c r="B253" s="12" t="s">
        <v>157</v>
      </c>
      <c r="C253" s="11" t="s">
        <v>128</v>
      </c>
      <c r="D253" s="123"/>
      <c r="E253" s="20"/>
      <c r="F253" s="21"/>
      <c r="G253" s="21"/>
      <c r="H253" s="20"/>
    </row>
    <row r="254" spans="1:8" outlineLevel="1" collapsed="1">
      <c r="A254" s="117">
        <v>1</v>
      </c>
      <c r="B254" s="15" t="s">
        <v>158</v>
      </c>
      <c r="C254" s="11">
        <v>0</v>
      </c>
      <c r="D254" s="16">
        <v>1152</v>
      </c>
      <c r="E254" s="126">
        <v>285</v>
      </c>
      <c r="F254" s="126">
        <v>268</v>
      </c>
      <c r="G254" s="126">
        <v>330</v>
      </c>
      <c r="H254" s="16">
        <v>269</v>
      </c>
    </row>
    <row r="255" spans="1:8" ht="15" hidden="1" customHeight="1" outlineLevel="2">
      <c r="B255" s="12" t="s">
        <v>78</v>
      </c>
      <c r="C255" s="11" t="s">
        <v>120</v>
      </c>
      <c r="D255" s="123">
        <v>1400</v>
      </c>
      <c r="E255" s="20">
        <v>253</v>
      </c>
      <c r="F255" s="21">
        <v>391</v>
      </c>
      <c r="G255" s="21">
        <v>380</v>
      </c>
      <c r="H255" s="20">
        <v>376</v>
      </c>
    </row>
    <row r="256" spans="1:8" hidden="1" outlineLevel="2">
      <c r="B256" s="13" t="s">
        <v>78</v>
      </c>
      <c r="C256" s="18" t="s">
        <v>121</v>
      </c>
      <c r="D256" s="123">
        <v>62</v>
      </c>
      <c r="E256" s="114">
        <v>0</v>
      </c>
      <c r="F256" s="115">
        <v>0</v>
      </c>
      <c r="G256" s="115">
        <v>31</v>
      </c>
      <c r="H256" s="114">
        <v>31</v>
      </c>
    </row>
    <row r="257" spans="1:8" hidden="1" outlineLevel="2">
      <c r="B257" s="12" t="s">
        <v>78</v>
      </c>
      <c r="C257" s="11" t="s">
        <v>122</v>
      </c>
      <c r="D257" s="123"/>
      <c r="E257" s="20"/>
      <c r="F257" s="21"/>
      <c r="G257" s="21"/>
      <c r="H257" s="20"/>
    </row>
    <row r="258" spans="1:8" hidden="1" outlineLevel="2">
      <c r="B258" s="14" t="s">
        <v>78</v>
      </c>
      <c r="C258" s="19" t="s">
        <v>123</v>
      </c>
      <c r="D258" s="123"/>
      <c r="E258" s="123"/>
      <c r="F258" s="124"/>
      <c r="G258" s="124"/>
      <c r="H258" s="123"/>
    </row>
    <row r="259" spans="1:8" hidden="1" outlineLevel="2">
      <c r="B259" s="12" t="s">
        <v>78</v>
      </c>
      <c r="C259" s="11" t="s">
        <v>124</v>
      </c>
      <c r="D259" s="123">
        <v>182</v>
      </c>
      <c r="E259" s="20">
        <v>40</v>
      </c>
      <c r="F259" s="21">
        <v>51</v>
      </c>
      <c r="G259" s="21">
        <v>50</v>
      </c>
      <c r="H259" s="20">
        <v>41</v>
      </c>
    </row>
    <row r="260" spans="1:8" hidden="1" outlineLevel="2">
      <c r="B260" s="12" t="s">
        <v>78</v>
      </c>
      <c r="C260" s="11" t="s">
        <v>125</v>
      </c>
      <c r="D260" s="123"/>
      <c r="E260" s="20"/>
      <c r="F260" s="21"/>
      <c r="G260" s="21"/>
      <c r="H260" s="20"/>
    </row>
    <row r="261" spans="1:8" hidden="1" outlineLevel="2">
      <c r="B261" s="12" t="s">
        <v>78</v>
      </c>
      <c r="C261" s="11" t="s">
        <v>126</v>
      </c>
      <c r="D261" s="123">
        <v>0</v>
      </c>
      <c r="E261" s="21">
        <v>0</v>
      </c>
      <c r="F261" s="21">
        <v>0</v>
      </c>
      <c r="G261" s="21"/>
      <c r="H261" s="20"/>
    </row>
    <row r="262" spans="1:8" hidden="1" outlineLevel="2">
      <c r="B262" s="12" t="s">
        <v>78</v>
      </c>
      <c r="C262" s="11" t="s">
        <v>127</v>
      </c>
      <c r="D262" s="123"/>
      <c r="E262" s="21"/>
      <c r="F262" s="21"/>
      <c r="G262" s="21"/>
      <c r="H262" s="20"/>
    </row>
    <row r="263" spans="1:8" hidden="1" outlineLevel="2">
      <c r="B263" s="12" t="s">
        <v>78</v>
      </c>
      <c r="C263" s="11" t="s">
        <v>128</v>
      </c>
      <c r="D263" s="123"/>
      <c r="E263" s="21"/>
      <c r="F263" s="21"/>
      <c r="G263" s="21"/>
      <c r="H263" s="20"/>
    </row>
    <row r="264" spans="1:8" outlineLevel="1" collapsed="1">
      <c r="A264" s="117">
        <v>1</v>
      </c>
      <c r="B264" s="15" t="s">
        <v>79</v>
      </c>
      <c r="C264" s="11">
        <v>0</v>
      </c>
      <c r="D264" s="16">
        <v>1644</v>
      </c>
      <c r="E264" s="126">
        <v>293</v>
      </c>
      <c r="F264" s="126">
        <v>442</v>
      </c>
      <c r="G264" s="126">
        <v>461</v>
      </c>
      <c r="H264" s="16">
        <v>448</v>
      </c>
    </row>
    <row r="265" spans="1:8" ht="15" hidden="1" customHeight="1" outlineLevel="2">
      <c r="B265" s="12" t="s">
        <v>159</v>
      </c>
      <c r="C265" s="11" t="s">
        <v>120</v>
      </c>
      <c r="D265" s="123">
        <v>1279</v>
      </c>
      <c r="E265" s="20">
        <v>286</v>
      </c>
      <c r="F265" s="21">
        <v>430</v>
      </c>
      <c r="G265" s="21">
        <v>250</v>
      </c>
      <c r="H265" s="20">
        <v>313</v>
      </c>
    </row>
    <row r="266" spans="1:8" hidden="1" outlineLevel="2">
      <c r="B266" s="13" t="s">
        <v>159</v>
      </c>
      <c r="C266" s="18" t="s">
        <v>121</v>
      </c>
      <c r="D266" s="123"/>
      <c r="E266" s="114"/>
      <c r="F266" s="115"/>
      <c r="G266" s="115"/>
      <c r="H266" s="114"/>
    </row>
    <row r="267" spans="1:8" hidden="1" outlineLevel="2">
      <c r="B267" s="12" t="s">
        <v>159</v>
      </c>
      <c r="C267" s="11" t="s">
        <v>122</v>
      </c>
      <c r="D267" s="123"/>
      <c r="E267" s="20"/>
      <c r="F267" s="21"/>
      <c r="G267" s="21"/>
      <c r="H267" s="20"/>
    </row>
    <row r="268" spans="1:8" hidden="1" outlineLevel="2">
      <c r="B268" s="14" t="s">
        <v>159</v>
      </c>
      <c r="C268" s="19" t="s">
        <v>123</v>
      </c>
      <c r="D268" s="123"/>
      <c r="E268" s="123"/>
      <c r="F268" s="124"/>
      <c r="G268" s="124"/>
      <c r="H268" s="123"/>
    </row>
    <row r="269" spans="1:8" hidden="1" outlineLevel="2">
      <c r="B269" s="12" t="s">
        <v>159</v>
      </c>
      <c r="C269" s="11" t="s">
        <v>124</v>
      </c>
      <c r="D269" s="123">
        <v>210</v>
      </c>
      <c r="E269" s="20">
        <v>20</v>
      </c>
      <c r="F269" s="21">
        <v>47</v>
      </c>
      <c r="G269" s="21">
        <v>59</v>
      </c>
      <c r="H269" s="20">
        <v>84</v>
      </c>
    </row>
    <row r="270" spans="1:8" hidden="1" outlineLevel="2">
      <c r="B270" s="12" t="s">
        <v>159</v>
      </c>
      <c r="C270" s="11" t="s">
        <v>125</v>
      </c>
      <c r="D270" s="123"/>
      <c r="E270" s="20"/>
      <c r="F270" s="21"/>
      <c r="G270" s="21"/>
      <c r="H270" s="20"/>
    </row>
    <row r="271" spans="1:8" hidden="1" outlineLevel="2">
      <c r="B271" s="12" t="s">
        <v>159</v>
      </c>
      <c r="C271" s="11" t="s">
        <v>126</v>
      </c>
      <c r="D271" s="123">
        <v>0</v>
      </c>
      <c r="E271" s="20"/>
      <c r="F271" s="21"/>
      <c r="G271" s="21"/>
      <c r="H271" s="20"/>
    </row>
    <row r="272" spans="1:8" hidden="1" outlineLevel="2">
      <c r="B272" s="12" t="s">
        <v>159</v>
      </c>
      <c r="C272" s="11" t="s">
        <v>127</v>
      </c>
      <c r="D272" s="123"/>
      <c r="E272" s="20"/>
      <c r="F272" s="21"/>
      <c r="G272" s="21"/>
      <c r="H272" s="20"/>
    </row>
    <row r="273" spans="1:8" hidden="1" outlineLevel="2">
      <c r="B273" s="12" t="s">
        <v>159</v>
      </c>
      <c r="C273" s="11" t="s">
        <v>128</v>
      </c>
      <c r="D273" s="123"/>
      <c r="E273" s="20"/>
      <c r="F273" s="21"/>
      <c r="G273" s="21"/>
      <c r="H273" s="20"/>
    </row>
    <row r="274" spans="1:8" outlineLevel="1" collapsed="1">
      <c r="A274" s="117">
        <v>1</v>
      </c>
      <c r="B274" s="15" t="s">
        <v>160</v>
      </c>
      <c r="C274" s="11">
        <v>0</v>
      </c>
      <c r="D274" s="16">
        <v>1489</v>
      </c>
      <c r="E274" s="126">
        <v>306</v>
      </c>
      <c r="F274" s="126">
        <v>477</v>
      </c>
      <c r="G274" s="126">
        <v>309</v>
      </c>
      <c r="H274" s="16">
        <v>397</v>
      </c>
    </row>
    <row r="275" spans="1:8" ht="15" hidden="1" customHeight="1" outlineLevel="2">
      <c r="B275" s="12" t="s">
        <v>84</v>
      </c>
      <c r="C275" s="11" t="s">
        <v>120</v>
      </c>
      <c r="D275" s="123">
        <v>1</v>
      </c>
      <c r="E275" s="20">
        <v>1</v>
      </c>
      <c r="F275" s="21"/>
      <c r="G275" s="21"/>
      <c r="H275" s="20"/>
    </row>
    <row r="276" spans="1:8" hidden="1" outlineLevel="2">
      <c r="B276" s="13" t="s">
        <v>84</v>
      </c>
      <c r="C276" s="18" t="s">
        <v>121</v>
      </c>
      <c r="D276" s="123">
        <v>295</v>
      </c>
      <c r="E276" s="114">
        <v>145</v>
      </c>
      <c r="F276" s="115">
        <v>150</v>
      </c>
      <c r="G276" s="115"/>
      <c r="H276" s="114"/>
    </row>
    <row r="277" spans="1:8" hidden="1" outlineLevel="2">
      <c r="B277" s="12" t="s">
        <v>84</v>
      </c>
      <c r="C277" s="11" t="s">
        <v>122</v>
      </c>
      <c r="D277" s="123"/>
      <c r="E277" s="21"/>
      <c r="F277" s="21"/>
      <c r="G277" s="21"/>
      <c r="H277" s="20"/>
    </row>
    <row r="278" spans="1:8" hidden="1" outlineLevel="2">
      <c r="B278" s="14" t="s">
        <v>84</v>
      </c>
      <c r="C278" s="19" t="s">
        <v>123</v>
      </c>
      <c r="D278" s="123"/>
      <c r="E278" s="124"/>
      <c r="F278" s="124"/>
      <c r="G278" s="124"/>
      <c r="H278" s="123"/>
    </row>
    <row r="279" spans="1:8" hidden="1" outlineLevel="2">
      <c r="B279" s="12" t="s">
        <v>84</v>
      </c>
      <c r="C279" s="11" t="s">
        <v>124</v>
      </c>
      <c r="D279" s="123"/>
      <c r="E279" s="21"/>
      <c r="F279" s="21"/>
      <c r="G279" s="21"/>
      <c r="H279" s="20"/>
    </row>
    <row r="280" spans="1:8" hidden="1" outlineLevel="2">
      <c r="B280" s="12" t="s">
        <v>84</v>
      </c>
      <c r="C280" s="11" t="s">
        <v>125</v>
      </c>
      <c r="D280" s="123"/>
      <c r="E280" s="21"/>
      <c r="F280" s="21"/>
      <c r="G280" s="21"/>
      <c r="H280" s="20"/>
    </row>
    <row r="281" spans="1:8" hidden="1" outlineLevel="2">
      <c r="B281" s="12" t="s">
        <v>84</v>
      </c>
      <c r="C281" s="11" t="s">
        <v>126</v>
      </c>
      <c r="D281" s="123"/>
      <c r="E281" s="21"/>
      <c r="F281" s="21"/>
      <c r="G281" s="21"/>
      <c r="H281" s="20"/>
    </row>
    <row r="282" spans="1:8" hidden="1" outlineLevel="2">
      <c r="B282" s="12" t="s">
        <v>84</v>
      </c>
      <c r="C282" s="11" t="s">
        <v>127</v>
      </c>
      <c r="D282" s="123"/>
      <c r="E282" s="21"/>
      <c r="F282" s="21"/>
      <c r="G282" s="21"/>
      <c r="H282" s="20"/>
    </row>
    <row r="283" spans="1:8" hidden="1" outlineLevel="2">
      <c r="B283" s="12" t="s">
        <v>84</v>
      </c>
      <c r="C283" s="11" t="s">
        <v>128</v>
      </c>
      <c r="D283" s="123"/>
      <c r="E283" s="21"/>
      <c r="F283" s="21"/>
      <c r="G283" s="21"/>
      <c r="H283" s="20"/>
    </row>
    <row r="284" spans="1:8" ht="18" customHeight="1" outlineLevel="1" collapsed="1">
      <c r="A284" s="117">
        <v>1</v>
      </c>
      <c r="B284" s="15" t="s">
        <v>85</v>
      </c>
      <c r="C284" s="11">
        <v>0</v>
      </c>
      <c r="D284" s="16">
        <v>296</v>
      </c>
      <c r="E284" s="126">
        <v>146</v>
      </c>
      <c r="F284" s="126">
        <v>150</v>
      </c>
      <c r="G284" s="126">
        <v>0</v>
      </c>
      <c r="H284" s="16">
        <v>0</v>
      </c>
    </row>
    <row r="285" spans="1:8" ht="15" hidden="1" customHeight="1" outlineLevel="2">
      <c r="B285" s="12" t="s">
        <v>161</v>
      </c>
      <c r="C285" s="11" t="s">
        <v>120</v>
      </c>
      <c r="D285" s="123">
        <v>907</v>
      </c>
      <c r="E285" s="20">
        <v>176</v>
      </c>
      <c r="F285" s="21">
        <v>256</v>
      </c>
      <c r="G285" s="21">
        <v>258</v>
      </c>
      <c r="H285" s="20">
        <v>217</v>
      </c>
    </row>
    <row r="286" spans="1:8" hidden="1" outlineLevel="2">
      <c r="B286" s="13" t="s">
        <v>161</v>
      </c>
      <c r="C286" s="18" t="s">
        <v>121</v>
      </c>
      <c r="D286" s="123"/>
      <c r="E286" s="114"/>
      <c r="F286" s="115"/>
      <c r="G286" s="115"/>
      <c r="H286" s="114"/>
    </row>
    <row r="287" spans="1:8" hidden="1" outlineLevel="2">
      <c r="B287" s="12" t="s">
        <v>161</v>
      </c>
      <c r="C287" s="11" t="s">
        <v>122</v>
      </c>
      <c r="D287" s="123"/>
      <c r="E287" s="20"/>
      <c r="F287" s="21"/>
      <c r="G287" s="21"/>
      <c r="H287" s="20"/>
    </row>
    <row r="288" spans="1:8" hidden="1" outlineLevel="2">
      <c r="B288" s="14" t="s">
        <v>161</v>
      </c>
      <c r="C288" s="19" t="s">
        <v>123</v>
      </c>
      <c r="D288" s="123"/>
      <c r="E288" s="123"/>
      <c r="F288" s="124"/>
      <c r="G288" s="124"/>
      <c r="H288" s="123"/>
    </row>
    <row r="289" spans="1:8" hidden="1" outlineLevel="2">
      <c r="B289" s="12" t="s">
        <v>161</v>
      </c>
      <c r="C289" s="11" t="s">
        <v>124</v>
      </c>
      <c r="D289" s="123">
        <v>82</v>
      </c>
      <c r="E289" s="20">
        <v>13</v>
      </c>
      <c r="F289" s="21">
        <v>28</v>
      </c>
      <c r="G289" s="21">
        <v>20</v>
      </c>
      <c r="H289" s="20">
        <v>21</v>
      </c>
    </row>
    <row r="290" spans="1:8" hidden="1" outlineLevel="2">
      <c r="B290" s="12" t="s">
        <v>161</v>
      </c>
      <c r="C290" s="11" t="s">
        <v>125</v>
      </c>
      <c r="D290" s="123"/>
      <c r="E290" s="20"/>
      <c r="F290" s="21"/>
      <c r="G290" s="21"/>
      <c r="H290" s="20"/>
    </row>
    <row r="291" spans="1:8" hidden="1" outlineLevel="2">
      <c r="B291" s="12" t="s">
        <v>161</v>
      </c>
      <c r="C291" s="11" t="s">
        <v>126</v>
      </c>
      <c r="D291" s="123">
        <v>0</v>
      </c>
      <c r="E291" s="20"/>
      <c r="F291" s="21"/>
      <c r="G291" s="21"/>
      <c r="H291" s="20"/>
    </row>
    <row r="292" spans="1:8" hidden="1" outlineLevel="2">
      <c r="B292" s="12" t="s">
        <v>161</v>
      </c>
      <c r="C292" s="11" t="s">
        <v>127</v>
      </c>
      <c r="D292" s="123"/>
      <c r="E292" s="20"/>
      <c r="F292" s="21"/>
      <c r="G292" s="21"/>
      <c r="H292" s="20"/>
    </row>
    <row r="293" spans="1:8" hidden="1" outlineLevel="2">
      <c r="B293" s="12" t="s">
        <v>161</v>
      </c>
      <c r="C293" s="11" t="s">
        <v>128</v>
      </c>
      <c r="D293" s="123"/>
      <c r="E293" s="20"/>
      <c r="F293" s="21"/>
      <c r="G293" s="21"/>
      <c r="H293" s="20"/>
    </row>
    <row r="294" spans="1:8" outlineLevel="1" collapsed="1">
      <c r="A294" s="117">
        <v>1</v>
      </c>
      <c r="B294" s="15" t="s">
        <v>162</v>
      </c>
      <c r="C294" s="11">
        <v>0</v>
      </c>
      <c r="D294" s="16">
        <v>989</v>
      </c>
      <c r="E294" s="126">
        <v>189</v>
      </c>
      <c r="F294" s="126">
        <v>284</v>
      </c>
      <c r="G294" s="126">
        <v>278</v>
      </c>
      <c r="H294" s="16">
        <v>238</v>
      </c>
    </row>
    <row r="295" spans="1:8" ht="15" hidden="1" customHeight="1" outlineLevel="2">
      <c r="B295" s="12" t="s">
        <v>163</v>
      </c>
      <c r="C295" s="11" t="s">
        <v>120</v>
      </c>
      <c r="D295" s="123">
        <v>1214</v>
      </c>
      <c r="E295" s="20">
        <v>179</v>
      </c>
      <c r="F295" s="116">
        <v>347</v>
      </c>
      <c r="G295" s="116">
        <v>410</v>
      </c>
      <c r="H295" s="116">
        <v>278</v>
      </c>
    </row>
    <row r="296" spans="1:8" hidden="1" outlineLevel="2">
      <c r="B296" s="13" t="s">
        <v>163</v>
      </c>
      <c r="C296" s="18" t="s">
        <v>121</v>
      </c>
      <c r="D296" s="123"/>
      <c r="E296" s="114"/>
      <c r="F296" s="133"/>
      <c r="G296" s="133"/>
      <c r="H296" s="133"/>
    </row>
    <row r="297" spans="1:8" hidden="1" outlineLevel="2">
      <c r="B297" s="12" t="s">
        <v>163</v>
      </c>
      <c r="C297" s="11" t="s">
        <v>122</v>
      </c>
      <c r="D297" s="123"/>
      <c r="E297" s="20"/>
      <c r="F297" s="116"/>
      <c r="G297" s="116"/>
      <c r="H297" s="116"/>
    </row>
    <row r="298" spans="1:8" hidden="1" outlineLevel="2">
      <c r="B298" s="14" t="s">
        <v>163</v>
      </c>
      <c r="C298" s="19" t="s">
        <v>123</v>
      </c>
      <c r="D298" s="123"/>
      <c r="E298" s="123"/>
      <c r="F298" s="134"/>
      <c r="G298" s="134"/>
      <c r="H298" s="134"/>
    </row>
    <row r="299" spans="1:8" hidden="1" outlineLevel="2">
      <c r="B299" s="12" t="s">
        <v>163</v>
      </c>
      <c r="C299" s="11" t="s">
        <v>124</v>
      </c>
      <c r="D299" s="123">
        <v>184</v>
      </c>
      <c r="E299" s="20">
        <v>23</v>
      </c>
      <c r="F299" s="116">
        <v>34</v>
      </c>
      <c r="G299" s="116">
        <v>69</v>
      </c>
      <c r="H299" s="116">
        <v>58</v>
      </c>
    </row>
    <row r="300" spans="1:8" hidden="1" outlineLevel="2">
      <c r="B300" s="12" t="s">
        <v>163</v>
      </c>
      <c r="C300" s="11" t="s">
        <v>125</v>
      </c>
      <c r="D300" s="123"/>
      <c r="E300" s="20"/>
      <c r="F300" s="116"/>
      <c r="G300" s="116"/>
      <c r="H300" s="116"/>
    </row>
    <row r="301" spans="1:8" hidden="1" outlineLevel="2">
      <c r="B301" s="12" t="s">
        <v>163</v>
      </c>
      <c r="C301" s="11" t="s">
        <v>126</v>
      </c>
      <c r="D301" s="123">
        <v>2</v>
      </c>
      <c r="E301" s="20"/>
      <c r="F301" s="116">
        <v>1</v>
      </c>
      <c r="G301" s="116">
        <v>1</v>
      </c>
      <c r="H301" s="116"/>
    </row>
    <row r="302" spans="1:8" hidden="1" outlineLevel="2">
      <c r="B302" s="12" t="s">
        <v>163</v>
      </c>
      <c r="C302" s="11" t="s">
        <v>127</v>
      </c>
      <c r="D302" s="123"/>
      <c r="E302" s="20"/>
      <c r="F302" s="116"/>
      <c r="G302" s="116"/>
      <c r="H302" s="116"/>
    </row>
    <row r="303" spans="1:8" hidden="1" outlineLevel="2">
      <c r="B303" s="12" t="s">
        <v>163</v>
      </c>
      <c r="C303" s="11" t="s">
        <v>128</v>
      </c>
      <c r="D303" s="123"/>
      <c r="E303" s="116"/>
      <c r="F303" s="116"/>
      <c r="G303" s="116"/>
      <c r="H303" s="116"/>
    </row>
    <row r="304" spans="1:8" outlineLevel="1" collapsed="1">
      <c r="A304" s="117">
        <v>1</v>
      </c>
      <c r="B304" s="15" t="s">
        <v>164</v>
      </c>
      <c r="C304" s="11">
        <v>0</v>
      </c>
      <c r="D304" s="16">
        <v>1400</v>
      </c>
      <c r="E304" s="126">
        <v>202</v>
      </c>
      <c r="F304" s="126">
        <v>382</v>
      </c>
      <c r="G304" s="126">
        <v>480</v>
      </c>
      <c r="H304" s="16">
        <v>336</v>
      </c>
    </row>
    <row r="305" spans="1:8" ht="15" hidden="1" customHeight="1" outlineLevel="2">
      <c r="B305" s="12" t="s">
        <v>90</v>
      </c>
      <c r="C305" s="11" t="s">
        <v>120</v>
      </c>
      <c r="D305" s="123">
        <v>141</v>
      </c>
      <c r="E305" s="20">
        <v>48</v>
      </c>
      <c r="F305" s="21">
        <v>23</v>
      </c>
      <c r="G305" s="21">
        <v>30</v>
      </c>
      <c r="H305" s="20">
        <v>40</v>
      </c>
    </row>
    <row r="306" spans="1:8" hidden="1" outlineLevel="2">
      <c r="B306" s="13" t="s">
        <v>90</v>
      </c>
      <c r="C306" s="18" t="s">
        <v>121</v>
      </c>
      <c r="D306" s="123"/>
      <c r="E306" s="114"/>
      <c r="F306" s="115"/>
      <c r="G306" s="115"/>
      <c r="H306" s="114"/>
    </row>
    <row r="307" spans="1:8" hidden="1" outlineLevel="2">
      <c r="B307" s="12" t="s">
        <v>90</v>
      </c>
      <c r="C307" s="11" t="s">
        <v>122</v>
      </c>
      <c r="D307" s="123">
        <v>11</v>
      </c>
      <c r="E307" s="20">
        <v>4</v>
      </c>
      <c r="F307" s="21">
        <v>2</v>
      </c>
      <c r="G307" s="21">
        <v>2</v>
      </c>
      <c r="H307" s="20">
        <v>3</v>
      </c>
    </row>
    <row r="308" spans="1:8" hidden="1" outlineLevel="2">
      <c r="B308" s="14" t="s">
        <v>90</v>
      </c>
      <c r="C308" s="19" t="s">
        <v>123</v>
      </c>
      <c r="D308" s="123"/>
      <c r="E308" s="123"/>
      <c r="F308" s="124"/>
      <c r="G308" s="124"/>
      <c r="H308" s="123"/>
    </row>
    <row r="309" spans="1:8" hidden="1" outlineLevel="2">
      <c r="B309" s="12" t="s">
        <v>90</v>
      </c>
      <c r="C309" s="11" t="s">
        <v>124</v>
      </c>
      <c r="D309" s="123">
        <v>40</v>
      </c>
      <c r="E309" s="20">
        <v>8</v>
      </c>
      <c r="F309" s="21">
        <v>4</v>
      </c>
      <c r="G309" s="21">
        <v>14</v>
      </c>
      <c r="H309" s="20">
        <v>14</v>
      </c>
    </row>
    <row r="310" spans="1:8" hidden="1" outlineLevel="2">
      <c r="B310" s="12" t="s">
        <v>90</v>
      </c>
      <c r="C310" s="11" t="s">
        <v>125</v>
      </c>
      <c r="D310" s="123"/>
      <c r="E310" s="20"/>
      <c r="F310" s="21"/>
      <c r="G310" s="21"/>
      <c r="H310" s="20"/>
    </row>
    <row r="311" spans="1:8" hidden="1" outlineLevel="2">
      <c r="B311" s="12" t="s">
        <v>90</v>
      </c>
      <c r="C311" s="11" t="s">
        <v>126</v>
      </c>
      <c r="D311" s="123"/>
      <c r="E311" s="20"/>
      <c r="F311" s="21"/>
      <c r="G311" s="21"/>
      <c r="H311" s="20"/>
    </row>
    <row r="312" spans="1:8" hidden="1" outlineLevel="2">
      <c r="B312" s="12" t="s">
        <v>90</v>
      </c>
      <c r="C312" s="11" t="s">
        <v>127</v>
      </c>
      <c r="D312" s="123"/>
      <c r="E312" s="20"/>
      <c r="F312" s="21"/>
      <c r="G312" s="21"/>
      <c r="H312" s="20"/>
    </row>
    <row r="313" spans="1:8" hidden="1" outlineLevel="2">
      <c r="B313" s="12" t="s">
        <v>90</v>
      </c>
      <c r="C313" s="11" t="s">
        <v>128</v>
      </c>
      <c r="D313" s="123"/>
      <c r="E313" s="20"/>
      <c r="F313" s="21"/>
      <c r="G313" s="21"/>
      <c r="H313" s="20"/>
    </row>
    <row r="314" spans="1:8" outlineLevel="1" collapsed="1">
      <c r="A314" s="117">
        <v>1</v>
      </c>
      <c r="B314" s="15" t="s">
        <v>91</v>
      </c>
      <c r="C314" s="11">
        <v>0</v>
      </c>
      <c r="D314" s="16">
        <v>192</v>
      </c>
      <c r="E314" s="126">
        <v>60</v>
      </c>
      <c r="F314" s="126">
        <v>29</v>
      </c>
      <c r="G314" s="126">
        <v>46</v>
      </c>
      <c r="H314" s="16">
        <v>57</v>
      </c>
    </row>
    <row r="315" spans="1:8" ht="15" hidden="1" customHeight="1" outlineLevel="2">
      <c r="B315" s="12" t="s">
        <v>165</v>
      </c>
      <c r="C315" s="11" t="s">
        <v>120</v>
      </c>
      <c r="D315" s="123">
        <v>353</v>
      </c>
      <c r="E315" s="123">
        <v>65</v>
      </c>
      <c r="F315" s="21">
        <v>71</v>
      </c>
      <c r="G315" s="21">
        <v>128</v>
      </c>
      <c r="H315" s="20">
        <v>89</v>
      </c>
    </row>
    <row r="316" spans="1:8" hidden="1" outlineLevel="2">
      <c r="B316" s="13" t="s">
        <v>165</v>
      </c>
      <c r="C316" s="18" t="s">
        <v>121</v>
      </c>
      <c r="D316" s="123"/>
      <c r="E316" s="123"/>
      <c r="F316" s="115"/>
      <c r="G316" s="115"/>
      <c r="H316" s="114"/>
    </row>
    <row r="317" spans="1:8" hidden="1" outlineLevel="2">
      <c r="B317" s="12" t="s">
        <v>165</v>
      </c>
      <c r="C317" s="11" t="s">
        <v>122</v>
      </c>
      <c r="D317" s="123"/>
      <c r="E317" s="123"/>
      <c r="F317" s="21"/>
      <c r="G317" s="21"/>
      <c r="H317" s="20"/>
    </row>
    <row r="318" spans="1:8" hidden="1" outlineLevel="2">
      <c r="B318" s="14" t="s">
        <v>165</v>
      </c>
      <c r="C318" s="19" t="s">
        <v>123</v>
      </c>
      <c r="D318" s="123"/>
      <c r="E318" s="123"/>
      <c r="F318" s="124"/>
      <c r="G318" s="124"/>
      <c r="H318" s="123"/>
    </row>
    <row r="319" spans="1:8" hidden="1" outlineLevel="2">
      <c r="B319" s="12" t="s">
        <v>165</v>
      </c>
      <c r="C319" s="11" t="s">
        <v>124</v>
      </c>
      <c r="D319" s="123">
        <v>72</v>
      </c>
      <c r="E319" s="123">
        <v>14</v>
      </c>
      <c r="F319" s="21">
        <v>12</v>
      </c>
      <c r="G319" s="21">
        <v>28</v>
      </c>
      <c r="H319" s="20">
        <v>18</v>
      </c>
    </row>
    <row r="320" spans="1:8" hidden="1" outlineLevel="2">
      <c r="B320" s="12" t="s">
        <v>165</v>
      </c>
      <c r="C320" s="11" t="s">
        <v>125</v>
      </c>
      <c r="D320" s="123"/>
      <c r="E320" s="21"/>
      <c r="F320" s="21"/>
      <c r="G320" s="21"/>
      <c r="H320" s="20"/>
    </row>
    <row r="321" spans="1:8" hidden="1" outlineLevel="2">
      <c r="B321" s="12" t="s">
        <v>165</v>
      </c>
      <c r="C321" s="11" t="s">
        <v>126</v>
      </c>
      <c r="D321" s="123"/>
      <c r="E321" s="21"/>
      <c r="F321" s="21"/>
      <c r="G321" s="21"/>
      <c r="H321" s="20"/>
    </row>
    <row r="322" spans="1:8" hidden="1" outlineLevel="2">
      <c r="B322" s="12" t="s">
        <v>165</v>
      </c>
      <c r="C322" s="11" t="s">
        <v>127</v>
      </c>
      <c r="D322" s="123"/>
      <c r="E322" s="21"/>
      <c r="F322" s="21"/>
      <c r="G322" s="21"/>
      <c r="H322" s="20"/>
    </row>
    <row r="323" spans="1:8" hidden="1" outlineLevel="2">
      <c r="B323" s="12" t="s">
        <v>165</v>
      </c>
      <c r="C323" s="11" t="s">
        <v>128</v>
      </c>
      <c r="D323" s="123"/>
      <c r="E323" s="21"/>
      <c r="F323" s="21"/>
      <c r="G323" s="21"/>
      <c r="H323" s="20"/>
    </row>
    <row r="324" spans="1:8" outlineLevel="1" collapsed="1">
      <c r="A324" s="117">
        <v>1</v>
      </c>
      <c r="B324" s="15" t="s">
        <v>166</v>
      </c>
      <c r="C324" s="11">
        <v>0</v>
      </c>
      <c r="D324" s="16">
        <v>425</v>
      </c>
      <c r="E324" s="126">
        <v>79</v>
      </c>
      <c r="F324" s="126">
        <v>83</v>
      </c>
      <c r="G324" s="126">
        <v>156</v>
      </c>
      <c r="H324" s="16">
        <v>107</v>
      </c>
    </row>
    <row r="325" spans="1:8" ht="15" hidden="1" customHeight="1" outlineLevel="2">
      <c r="B325" s="12" t="s">
        <v>167</v>
      </c>
      <c r="C325" s="11" t="s">
        <v>120</v>
      </c>
      <c r="D325" s="123">
        <v>2225</v>
      </c>
      <c r="E325" s="20">
        <v>594</v>
      </c>
      <c r="F325" s="21">
        <v>589</v>
      </c>
      <c r="G325" s="21">
        <v>520</v>
      </c>
      <c r="H325" s="20">
        <v>522</v>
      </c>
    </row>
    <row r="326" spans="1:8" ht="16.5" hidden="1" customHeight="1" outlineLevel="2">
      <c r="B326" s="13" t="s">
        <v>167</v>
      </c>
      <c r="C326" s="18" t="s">
        <v>121</v>
      </c>
      <c r="D326" s="123">
        <v>93</v>
      </c>
      <c r="E326" s="114">
        <v>25</v>
      </c>
      <c r="F326" s="115">
        <v>18</v>
      </c>
      <c r="G326" s="115">
        <v>25</v>
      </c>
      <c r="H326" s="114">
        <v>25</v>
      </c>
    </row>
    <row r="327" spans="1:8" ht="16.5" hidden="1" customHeight="1" outlineLevel="2">
      <c r="B327" s="12" t="s">
        <v>167</v>
      </c>
      <c r="C327" s="11" t="s">
        <v>122</v>
      </c>
      <c r="D327" s="123"/>
      <c r="E327" s="20"/>
      <c r="F327" s="21"/>
      <c r="G327" s="21"/>
      <c r="H327" s="20"/>
    </row>
    <row r="328" spans="1:8" ht="16.5" hidden="1" customHeight="1" outlineLevel="2">
      <c r="B328" s="14" t="s">
        <v>167</v>
      </c>
      <c r="C328" s="19" t="s">
        <v>123</v>
      </c>
      <c r="D328" s="123"/>
      <c r="E328" s="123"/>
      <c r="F328" s="124"/>
      <c r="G328" s="124"/>
      <c r="H328" s="123"/>
    </row>
    <row r="329" spans="1:8" ht="16.5" hidden="1" customHeight="1" outlineLevel="2">
      <c r="B329" s="12" t="s">
        <v>167</v>
      </c>
      <c r="C329" s="11" t="s">
        <v>124</v>
      </c>
      <c r="D329" s="123"/>
      <c r="E329" s="20"/>
      <c r="F329" s="21"/>
      <c r="G329" s="21"/>
      <c r="H329" s="20"/>
    </row>
    <row r="330" spans="1:8" ht="16.5" hidden="1" customHeight="1" outlineLevel="2">
      <c r="B330" s="12" t="s">
        <v>167</v>
      </c>
      <c r="C330" s="11" t="s">
        <v>125</v>
      </c>
      <c r="D330" s="123"/>
      <c r="E330" s="20"/>
      <c r="F330" s="21"/>
      <c r="G330" s="21"/>
      <c r="H330" s="20"/>
    </row>
    <row r="331" spans="1:8" ht="16.5" hidden="1" customHeight="1" outlineLevel="2">
      <c r="B331" s="12" t="s">
        <v>167</v>
      </c>
      <c r="C331" s="11" t="s">
        <v>126</v>
      </c>
      <c r="D331" s="123">
        <v>175</v>
      </c>
      <c r="E331" s="20">
        <v>37</v>
      </c>
      <c r="F331" s="21">
        <v>51</v>
      </c>
      <c r="G331" s="21">
        <v>46</v>
      </c>
      <c r="H331" s="20">
        <v>41</v>
      </c>
    </row>
    <row r="332" spans="1:8" ht="16.5" hidden="1" customHeight="1" outlineLevel="2">
      <c r="B332" s="12" t="s">
        <v>167</v>
      </c>
      <c r="C332" s="11" t="s">
        <v>127</v>
      </c>
      <c r="D332" s="123"/>
      <c r="E332" s="20"/>
      <c r="F332" s="21"/>
      <c r="G332" s="21"/>
      <c r="H332" s="20"/>
    </row>
    <row r="333" spans="1:8" ht="16.5" hidden="1" customHeight="1" outlineLevel="2">
      <c r="B333" s="12" t="s">
        <v>167</v>
      </c>
      <c r="C333" s="11" t="s">
        <v>128</v>
      </c>
      <c r="D333" s="123"/>
      <c r="E333" s="20"/>
      <c r="F333" s="21"/>
      <c r="G333" s="21"/>
      <c r="H333" s="20"/>
    </row>
    <row r="334" spans="1:8" ht="28.5" outlineLevel="1" collapsed="1">
      <c r="A334" s="117">
        <v>1</v>
      </c>
      <c r="B334" s="15" t="s">
        <v>168</v>
      </c>
      <c r="C334" s="11">
        <v>0</v>
      </c>
      <c r="D334" s="16">
        <v>2493</v>
      </c>
      <c r="E334" s="126">
        <v>656</v>
      </c>
      <c r="F334" s="126">
        <v>658</v>
      </c>
      <c r="G334" s="126">
        <v>591</v>
      </c>
      <c r="H334" s="16">
        <v>588</v>
      </c>
    </row>
    <row r="335" spans="1:8" ht="15" hidden="1" customHeight="1" outlineLevel="2">
      <c r="B335" s="12" t="s">
        <v>169</v>
      </c>
      <c r="C335" s="11" t="s">
        <v>120</v>
      </c>
      <c r="D335" s="123">
        <v>1129</v>
      </c>
      <c r="E335" s="21">
        <v>234</v>
      </c>
      <c r="F335" s="21">
        <v>299</v>
      </c>
      <c r="G335" s="21">
        <v>298</v>
      </c>
      <c r="H335" s="20">
        <v>298</v>
      </c>
    </row>
    <row r="336" spans="1:8" hidden="1" outlineLevel="2">
      <c r="B336" s="13" t="s">
        <v>169</v>
      </c>
      <c r="C336" s="18" t="s">
        <v>121</v>
      </c>
      <c r="D336" s="123"/>
      <c r="E336" s="115"/>
      <c r="F336" s="115"/>
      <c r="G336" s="115"/>
      <c r="H336" s="114"/>
    </row>
    <row r="337" spans="1:8" hidden="1" outlineLevel="2">
      <c r="B337" s="12" t="s">
        <v>169</v>
      </c>
      <c r="C337" s="11" t="s">
        <v>122</v>
      </c>
      <c r="D337" s="123"/>
      <c r="E337" s="21"/>
      <c r="F337" s="21"/>
      <c r="G337" s="21"/>
      <c r="H337" s="20"/>
    </row>
    <row r="338" spans="1:8" hidden="1" outlineLevel="2">
      <c r="B338" s="14" t="s">
        <v>169</v>
      </c>
      <c r="C338" s="19" t="s">
        <v>123</v>
      </c>
      <c r="D338" s="123"/>
      <c r="E338" s="124"/>
      <c r="F338" s="124"/>
      <c r="G338" s="124"/>
      <c r="H338" s="123"/>
    </row>
    <row r="339" spans="1:8" hidden="1" outlineLevel="2">
      <c r="B339" s="12" t="s">
        <v>169</v>
      </c>
      <c r="C339" s="11" t="s">
        <v>124</v>
      </c>
      <c r="D339" s="123"/>
      <c r="E339" s="21"/>
      <c r="F339" s="21"/>
      <c r="G339" s="21"/>
      <c r="H339" s="20"/>
    </row>
    <row r="340" spans="1:8" hidden="1" outlineLevel="2">
      <c r="B340" s="12" t="s">
        <v>169</v>
      </c>
      <c r="C340" s="11" t="s">
        <v>125</v>
      </c>
      <c r="D340" s="123"/>
      <c r="E340" s="21"/>
      <c r="F340" s="21"/>
      <c r="G340" s="21"/>
      <c r="H340" s="20"/>
    </row>
    <row r="341" spans="1:8" hidden="1" outlineLevel="2">
      <c r="B341" s="12" t="s">
        <v>169</v>
      </c>
      <c r="C341" s="11" t="s">
        <v>126</v>
      </c>
      <c r="D341" s="123">
        <v>0</v>
      </c>
      <c r="E341" s="21"/>
      <c r="F341" s="21"/>
      <c r="G341" s="21"/>
      <c r="H341" s="20"/>
    </row>
    <row r="342" spans="1:8" hidden="1" outlineLevel="2">
      <c r="B342" s="12" t="s">
        <v>169</v>
      </c>
      <c r="C342" s="11" t="s">
        <v>127</v>
      </c>
      <c r="D342" s="123"/>
      <c r="E342" s="21"/>
      <c r="F342" s="21"/>
      <c r="G342" s="21"/>
      <c r="H342" s="20"/>
    </row>
    <row r="343" spans="1:8" hidden="1" outlineLevel="2">
      <c r="B343" s="12" t="s">
        <v>169</v>
      </c>
      <c r="C343" s="11" t="s">
        <v>128</v>
      </c>
      <c r="D343" s="123"/>
      <c r="E343" s="21"/>
      <c r="F343" s="21"/>
      <c r="G343" s="21"/>
      <c r="H343" s="20"/>
    </row>
    <row r="344" spans="1:8" outlineLevel="1" collapsed="1">
      <c r="A344" s="117">
        <v>1</v>
      </c>
      <c r="B344" s="15" t="s">
        <v>170</v>
      </c>
      <c r="C344" s="11">
        <v>0</v>
      </c>
      <c r="D344" s="16">
        <v>1129</v>
      </c>
      <c r="E344" s="126">
        <v>234</v>
      </c>
      <c r="F344" s="126">
        <v>299</v>
      </c>
      <c r="G344" s="126">
        <v>298</v>
      </c>
      <c r="H344" s="16">
        <v>298</v>
      </c>
    </row>
    <row r="345" spans="1:8" ht="15" hidden="1" customHeight="1" outlineLevel="2">
      <c r="B345" s="12" t="s">
        <v>102</v>
      </c>
      <c r="C345" s="11" t="s">
        <v>120</v>
      </c>
      <c r="D345" s="123">
        <v>1152</v>
      </c>
      <c r="E345" s="20">
        <v>217</v>
      </c>
      <c r="F345" s="21">
        <v>396</v>
      </c>
      <c r="G345" s="21">
        <v>300</v>
      </c>
      <c r="H345" s="20">
        <v>239</v>
      </c>
    </row>
    <row r="346" spans="1:8" hidden="1" outlineLevel="2">
      <c r="B346" s="13" t="s">
        <v>102</v>
      </c>
      <c r="C346" s="18" t="s">
        <v>121</v>
      </c>
      <c r="D346" s="123"/>
      <c r="E346" s="114"/>
      <c r="F346" s="115"/>
      <c r="G346" s="115"/>
      <c r="H346" s="114"/>
    </row>
    <row r="347" spans="1:8" hidden="1" outlineLevel="2">
      <c r="B347" s="12" t="s">
        <v>102</v>
      </c>
      <c r="C347" s="11" t="s">
        <v>122</v>
      </c>
      <c r="D347" s="123"/>
      <c r="E347" s="20"/>
      <c r="F347" s="21"/>
      <c r="G347" s="21"/>
      <c r="H347" s="20"/>
    </row>
    <row r="348" spans="1:8" hidden="1" outlineLevel="2">
      <c r="B348" s="14" t="s">
        <v>102</v>
      </c>
      <c r="C348" s="19" t="s">
        <v>123</v>
      </c>
      <c r="D348" s="123"/>
      <c r="E348" s="123"/>
      <c r="F348" s="124"/>
      <c r="G348" s="124"/>
      <c r="H348" s="123"/>
    </row>
    <row r="349" spans="1:8" hidden="1" outlineLevel="2">
      <c r="B349" s="12" t="s">
        <v>102</v>
      </c>
      <c r="C349" s="11" t="s">
        <v>124</v>
      </c>
      <c r="D349" s="123"/>
      <c r="E349" s="20"/>
      <c r="F349" s="21"/>
      <c r="G349" s="21"/>
      <c r="H349" s="20"/>
    </row>
    <row r="350" spans="1:8" hidden="1" outlineLevel="2">
      <c r="B350" s="12" t="s">
        <v>102</v>
      </c>
      <c r="C350" s="11" t="s">
        <v>125</v>
      </c>
      <c r="D350" s="123"/>
      <c r="E350" s="20"/>
      <c r="F350" s="21"/>
      <c r="G350" s="21"/>
      <c r="H350" s="20"/>
    </row>
    <row r="351" spans="1:8" hidden="1" outlineLevel="2">
      <c r="B351" s="12" t="s">
        <v>102</v>
      </c>
      <c r="C351" s="11" t="s">
        <v>126</v>
      </c>
      <c r="D351" s="123">
        <v>143</v>
      </c>
      <c r="E351" s="20">
        <v>41</v>
      </c>
      <c r="F351" s="21">
        <v>39</v>
      </c>
      <c r="G351" s="21">
        <v>24</v>
      </c>
      <c r="H351" s="20">
        <v>39</v>
      </c>
    </row>
    <row r="352" spans="1:8" hidden="1" outlineLevel="2">
      <c r="B352" s="12" t="s">
        <v>102</v>
      </c>
      <c r="C352" s="11" t="s">
        <v>127</v>
      </c>
      <c r="D352" s="123"/>
      <c r="E352" s="20"/>
      <c r="F352" s="21"/>
      <c r="G352" s="21"/>
      <c r="H352" s="20"/>
    </row>
    <row r="353" spans="1:8" hidden="1" outlineLevel="2">
      <c r="B353" s="12" t="s">
        <v>102</v>
      </c>
      <c r="C353" s="11" t="s">
        <v>128</v>
      </c>
      <c r="D353" s="123"/>
      <c r="E353" s="20"/>
      <c r="F353" s="21"/>
      <c r="G353" s="21"/>
      <c r="H353" s="20"/>
    </row>
    <row r="354" spans="1:8" outlineLevel="1" collapsed="1">
      <c r="A354" s="117">
        <v>1</v>
      </c>
      <c r="B354" s="15" t="s">
        <v>103</v>
      </c>
      <c r="C354" s="11">
        <v>0</v>
      </c>
      <c r="D354" s="16">
        <v>1295</v>
      </c>
      <c r="E354" s="126">
        <v>258</v>
      </c>
      <c r="F354" s="126">
        <v>435</v>
      </c>
      <c r="G354" s="126">
        <v>324</v>
      </c>
      <c r="H354" s="16">
        <v>278</v>
      </c>
    </row>
    <row r="355" spans="1:8" ht="15" hidden="1" customHeight="1" outlineLevel="2">
      <c r="B355" s="12" t="s">
        <v>171</v>
      </c>
      <c r="C355" s="11" t="s">
        <v>120</v>
      </c>
      <c r="D355" s="123">
        <v>2424</v>
      </c>
      <c r="E355" s="20">
        <v>562</v>
      </c>
      <c r="F355" s="21">
        <v>559</v>
      </c>
      <c r="G355" s="21">
        <v>644</v>
      </c>
      <c r="H355" s="20">
        <v>659</v>
      </c>
    </row>
    <row r="356" spans="1:8" hidden="1" outlineLevel="2">
      <c r="B356" s="13" t="s">
        <v>171</v>
      </c>
      <c r="C356" s="18" t="s">
        <v>121</v>
      </c>
      <c r="D356" s="123">
        <v>551</v>
      </c>
      <c r="E356" s="114">
        <v>132</v>
      </c>
      <c r="F356" s="115">
        <v>160</v>
      </c>
      <c r="G356" s="115">
        <v>149</v>
      </c>
      <c r="H356" s="114">
        <v>110</v>
      </c>
    </row>
    <row r="357" spans="1:8" hidden="1" outlineLevel="2">
      <c r="B357" s="12" t="s">
        <v>171</v>
      </c>
      <c r="C357" s="11" t="s">
        <v>122</v>
      </c>
      <c r="D357" s="123">
        <v>100</v>
      </c>
      <c r="E357" s="20">
        <v>27</v>
      </c>
      <c r="F357" s="21">
        <v>29</v>
      </c>
      <c r="G357" s="21">
        <v>29</v>
      </c>
      <c r="H357" s="20">
        <v>15</v>
      </c>
    </row>
    <row r="358" spans="1:8" hidden="1" outlineLevel="2">
      <c r="B358" s="14" t="s">
        <v>171</v>
      </c>
      <c r="C358" s="19" t="s">
        <v>123</v>
      </c>
      <c r="D358" s="123"/>
      <c r="E358" s="123"/>
      <c r="F358" s="124"/>
      <c r="G358" s="124"/>
      <c r="H358" s="123"/>
    </row>
    <row r="359" spans="1:8" hidden="1" outlineLevel="2">
      <c r="B359" s="12" t="s">
        <v>171</v>
      </c>
      <c r="C359" s="11" t="s">
        <v>124</v>
      </c>
      <c r="D359" s="123">
        <v>700</v>
      </c>
      <c r="E359" s="20">
        <v>163</v>
      </c>
      <c r="F359" s="21">
        <v>178</v>
      </c>
      <c r="G359" s="21">
        <v>200</v>
      </c>
      <c r="H359" s="20">
        <v>159</v>
      </c>
    </row>
    <row r="360" spans="1:8" hidden="1" outlineLevel="2">
      <c r="B360" s="12" t="s">
        <v>171</v>
      </c>
      <c r="C360" s="11" t="s">
        <v>125</v>
      </c>
      <c r="D360" s="123"/>
      <c r="E360" s="20"/>
      <c r="F360" s="21"/>
      <c r="G360" s="21"/>
      <c r="H360" s="20"/>
    </row>
    <row r="361" spans="1:8" hidden="1" outlineLevel="2">
      <c r="B361" s="12" t="s">
        <v>171</v>
      </c>
      <c r="C361" s="11" t="s">
        <v>126</v>
      </c>
      <c r="D361" s="123">
        <v>123</v>
      </c>
      <c r="E361" s="20">
        <v>21</v>
      </c>
      <c r="F361" s="21">
        <v>35</v>
      </c>
      <c r="G361" s="21">
        <v>35</v>
      </c>
      <c r="H361" s="20">
        <v>32</v>
      </c>
    </row>
    <row r="362" spans="1:8" hidden="1" outlineLevel="2">
      <c r="B362" s="12" t="s">
        <v>171</v>
      </c>
      <c r="C362" s="11" t="s">
        <v>127</v>
      </c>
      <c r="D362" s="123"/>
      <c r="E362" s="20"/>
      <c r="F362" s="21"/>
      <c r="G362" s="21"/>
      <c r="H362" s="20"/>
    </row>
    <row r="363" spans="1:8" hidden="1" outlineLevel="2">
      <c r="B363" s="12" t="s">
        <v>171</v>
      </c>
      <c r="C363" s="11" t="s">
        <v>128</v>
      </c>
      <c r="D363" s="123"/>
      <c r="E363" s="20"/>
      <c r="F363" s="21"/>
      <c r="G363" s="21"/>
      <c r="H363" s="20"/>
    </row>
    <row r="364" spans="1:8" outlineLevel="1" collapsed="1">
      <c r="A364" s="117">
        <v>1</v>
      </c>
      <c r="B364" s="15" t="s">
        <v>172</v>
      </c>
      <c r="C364" s="11">
        <v>0</v>
      </c>
      <c r="D364" s="16">
        <v>3898</v>
      </c>
      <c r="E364" s="126">
        <v>905</v>
      </c>
      <c r="F364" s="126">
        <v>961</v>
      </c>
      <c r="G364" s="126">
        <v>1057</v>
      </c>
      <c r="H364" s="16">
        <v>975</v>
      </c>
    </row>
    <row r="365" spans="1:8" ht="15" hidden="1" customHeight="1" outlineLevel="2">
      <c r="B365" s="12" t="s">
        <v>173</v>
      </c>
      <c r="C365" s="11" t="s">
        <v>120</v>
      </c>
      <c r="D365" s="123">
        <v>4580</v>
      </c>
      <c r="E365" s="116">
        <v>1091</v>
      </c>
      <c r="F365" s="116">
        <v>1124</v>
      </c>
      <c r="G365" s="116">
        <v>1065</v>
      </c>
      <c r="H365" s="116">
        <v>1300</v>
      </c>
    </row>
    <row r="366" spans="1:8" hidden="1" outlineLevel="2">
      <c r="B366" s="13" t="s">
        <v>173</v>
      </c>
      <c r="C366" s="18" t="s">
        <v>121</v>
      </c>
      <c r="D366" s="123"/>
      <c r="E366" s="133"/>
      <c r="F366" s="133"/>
      <c r="G366" s="133"/>
      <c r="H366" s="133"/>
    </row>
    <row r="367" spans="1:8" hidden="1" outlineLevel="2">
      <c r="B367" s="12" t="s">
        <v>173</v>
      </c>
      <c r="C367" s="11" t="s">
        <v>122</v>
      </c>
      <c r="D367" s="123">
        <v>95</v>
      </c>
      <c r="E367" s="116">
        <v>21</v>
      </c>
      <c r="F367" s="116">
        <v>26</v>
      </c>
      <c r="G367" s="116">
        <v>26</v>
      </c>
      <c r="H367" s="116">
        <v>22</v>
      </c>
    </row>
    <row r="368" spans="1:8" hidden="1" outlineLevel="2">
      <c r="B368" s="14" t="s">
        <v>173</v>
      </c>
      <c r="C368" s="19" t="s">
        <v>123</v>
      </c>
      <c r="D368" s="123"/>
      <c r="E368" s="134"/>
      <c r="F368" s="134"/>
      <c r="G368" s="134"/>
      <c r="H368" s="134"/>
    </row>
    <row r="369" spans="1:8" hidden="1" outlineLevel="2">
      <c r="B369" s="12" t="s">
        <v>173</v>
      </c>
      <c r="C369" s="11" t="s">
        <v>124</v>
      </c>
      <c r="D369" s="123">
        <v>1111</v>
      </c>
      <c r="E369" s="116">
        <v>267</v>
      </c>
      <c r="F369" s="116">
        <v>310</v>
      </c>
      <c r="G369" s="116">
        <v>300</v>
      </c>
      <c r="H369" s="116">
        <v>234</v>
      </c>
    </row>
    <row r="370" spans="1:8" hidden="1" outlineLevel="2">
      <c r="B370" s="12" t="s">
        <v>173</v>
      </c>
      <c r="C370" s="11" t="s">
        <v>125</v>
      </c>
      <c r="D370" s="123"/>
      <c r="E370" s="116"/>
      <c r="F370" s="116"/>
      <c r="G370" s="116"/>
      <c r="H370" s="116"/>
    </row>
    <row r="371" spans="1:8" hidden="1" outlineLevel="2">
      <c r="B371" s="12" t="s">
        <v>173</v>
      </c>
      <c r="C371" s="11" t="s">
        <v>126</v>
      </c>
      <c r="D371" s="123">
        <v>4</v>
      </c>
      <c r="E371" s="116">
        <v>1</v>
      </c>
      <c r="F371" s="116">
        <v>1</v>
      </c>
      <c r="G371" s="116">
        <v>1</v>
      </c>
      <c r="H371" s="116">
        <v>1</v>
      </c>
    </row>
    <row r="372" spans="1:8" hidden="1" outlineLevel="2">
      <c r="B372" s="12" t="s">
        <v>173</v>
      </c>
      <c r="C372" s="11" t="s">
        <v>127</v>
      </c>
      <c r="D372" s="123"/>
      <c r="E372" s="116"/>
      <c r="F372" s="116"/>
      <c r="G372" s="116"/>
      <c r="H372" s="116"/>
    </row>
    <row r="373" spans="1:8" hidden="1" outlineLevel="2">
      <c r="B373" s="12" t="s">
        <v>173</v>
      </c>
      <c r="C373" s="11" t="s">
        <v>128</v>
      </c>
      <c r="D373" s="123">
        <v>4</v>
      </c>
      <c r="E373" s="116">
        <v>1</v>
      </c>
      <c r="F373" s="116">
        <v>1</v>
      </c>
      <c r="G373" s="116">
        <v>2</v>
      </c>
      <c r="H373" s="116">
        <v>0</v>
      </c>
    </row>
    <row r="374" spans="1:8" outlineLevel="1" collapsed="1">
      <c r="A374" s="117">
        <v>1</v>
      </c>
      <c r="B374" s="15" t="s">
        <v>174</v>
      </c>
      <c r="C374" s="11">
        <v>0</v>
      </c>
      <c r="D374" s="16">
        <v>5794</v>
      </c>
      <c r="E374" s="126">
        <v>1381</v>
      </c>
      <c r="F374" s="126">
        <v>1462</v>
      </c>
      <c r="G374" s="126">
        <v>1394</v>
      </c>
      <c r="H374" s="16">
        <v>1557</v>
      </c>
    </row>
    <row r="375" spans="1:8" ht="15" hidden="1" customHeight="1" outlineLevel="2">
      <c r="B375" s="12" t="s">
        <v>108</v>
      </c>
      <c r="C375" s="11" t="s">
        <v>120</v>
      </c>
      <c r="D375" s="123">
        <v>663</v>
      </c>
      <c r="E375" s="20">
        <v>124</v>
      </c>
      <c r="F375" s="21">
        <v>199</v>
      </c>
      <c r="G375" s="21">
        <v>150</v>
      </c>
      <c r="H375" s="20">
        <v>190</v>
      </c>
    </row>
    <row r="376" spans="1:8" hidden="1" outlineLevel="2">
      <c r="B376" s="13" t="s">
        <v>108</v>
      </c>
      <c r="C376" s="18" t="s">
        <v>121</v>
      </c>
      <c r="D376" s="123"/>
      <c r="E376" s="114"/>
      <c r="F376" s="115"/>
      <c r="G376" s="115"/>
      <c r="H376" s="114"/>
    </row>
    <row r="377" spans="1:8" hidden="1" outlineLevel="2">
      <c r="B377" s="12" t="s">
        <v>108</v>
      </c>
      <c r="C377" s="11" t="s">
        <v>122</v>
      </c>
      <c r="D377" s="123"/>
      <c r="E377" s="20"/>
      <c r="F377" s="21"/>
      <c r="G377" s="21"/>
      <c r="H377" s="20"/>
    </row>
    <row r="378" spans="1:8" hidden="1" outlineLevel="2">
      <c r="B378" s="14" t="s">
        <v>108</v>
      </c>
      <c r="C378" s="19" t="s">
        <v>123</v>
      </c>
      <c r="D378" s="123"/>
      <c r="E378" s="123"/>
      <c r="F378" s="124"/>
      <c r="G378" s="124"/>
      <c r="H378" s="123"/>
    </row>
    <row r="379" spans="1:8" hidden="1" outlineLevel="2">
      <c r="B379" s="12" t="s">
        <v>108</v>
      </c>
      <c r="C379" s="11" t="s">
        <v>124</v>
      </c>
      <c r="D379" s="123"/>
      <c r="E379" s="20"/>
      <c r="F379" s="21"/>
      <c r="G379" s="21"/>
      <c r="H379" s="20"/>
    </row>
    <row r="380" spans="1:8" hidden="1" outlineLevel="2">
      <c r="B380" s="12" t="s">
        <v>108</v>
      </c>
      <c r="C380" s="11" t="s">
        <v>125</v>
      </c>
      <c r="D380" s="123"/>
      <c r="E380" s="20"/>
      <c r="F380" s="21"/>
      <c r="G380" s="21"/>
      <c r="H380" s="20"/>
    </row>
    <row r="381" spans="1:8" hidden="1" outlineLevel="2">
      <c r="B381" s="12" t="s">
        <v>108</v>
      </c>
      <c r="C381" s="11" t="s">
        <v>126</v>
      </c>
      <c r="D381" s="123">
        <v>0</v>
      </c>
      <c r="E381" s="20"/>
      <c r="F381" s="21"/>
      <c r="G381" s="21"/>
      <c r="H381" s="20"/>
    </row>
    <row r="382" spans="1:8" hidden="1" outlineLevel="2">
      <c r="B382" s="12" t="s">
        <v>108</v>
      </c>
      <c r="C382" s="11" t="s">
        <v>127</v>
      </c>
      <c r="D382" s="123"/>
      <c r="E382" s="20"/>
      <c r="F382" s="21"/>
      <c r="G382" s="21"/>
      <c r="H382" s="20"/>
    </row>
    <row r="383" spans="1:8" hidden="1" outlineLevel="2">
      <c r="B383" s="12" t="s">
        <v>108</v>
      </c>
      <c r="C383" s="11" t="s">
        <v>128</v>
      </c>
      <c r="D383" s="123"/>
      <c r="E383" s="20"/>
      <c r="F383" s="21"/>
      <c r="G383" s="21"/>
      <c r="H383" s="20"/>
    </row>
    <row r="384" spans="1:8" ht="28.5" outlineLevel="1" collapsed="1">
      <c r="A384" s="117">
        <v>1</v>
      </c>
      <c r="B384" s="15" t="s">
        <v>109</v>
      </c>
      <c r="C384" s="11">
        <v>0</v>
      </c>
      <c r="D384" s="16">
        <v>663</v>
      </c>
      <c r="E384" s="126">
        <v>124</v>
      </c>
      <c r="F384" s="126">
        <v>199</v>
      </c>
      <c r="G384" s="126">
        <v>150</v>
      </c>
      <c r="H384" s="16">
        <v>190</v>
      </c>
    </row>
    <row r="385" spans="1:8" ht="15" hidden="1" customHeight="1" outlineLevel="2">
      <c r="B385" s="12" t="s">
        <v>175</v>
      </c>
      <c r="C385" s="11" t="s">
        <v>120</v>
      </c>
      <c r="D385" s="123">
        <v>528</v>
      </c>
      <c r="E385" s="20">
        <v>115</v>
      </c>
      <c r="F385" s="21">
        <v>75</v>
      </c>
      <c r="G385" s="21">
        <v>219</v>
      </c>
      <c r="H385" s="20">
        <v>119</v>
      </c>
    </row>
    <row r="386" spans="1:8" hidden="1" outlineLevel="2">
      <c r="B386" s="13" t="s">
        <v>175</v>
      </c>
      <c r="C386" s="18" t="s">
        <v>121</v>
      </c>
      <c r="D386" s="123"/>
      <c r="E386" s="114"/>
      <c r="F386" s="115"/>
      <c r="G386" s="115"/>
      <c r="H386" s="114"/>
    </row>
    <row r="387" spans="1:8" hidden="1" outlineLevel="2">
      <c r="B387" s="12" t="s">
        <v>175</v>
      </c>
      <c r="C387" s="11" t="s">
        <v>122</v>
      </c>
      <c r="D387" s="123"/>
      <c r="E387" s="20"/>
      <c r="F387" s="21"/>
      <c r="G387" s="21"/>
      <c r="H387" s="20"/>
    </row>
    <row r="388" spans="1:8" hidden="1" outlineLevel="2">
      <c r="B388" s="14" t="s">
        <v>175</v>
      </c>
      <c r="C388" s="19" t="s">
        <v>123</v>
      </c>
      <c r="D388" s="123"/>
      <c r="E388" s="123"/>
      <c r="F388" s="124"/>
      <c r="G388" s="124"/>
      <c r="H388" s="123"/>
    </row>
    <row r="389" spans="1:8" hidden="1" outlineLevel="2">
      <c r="B389" s="12" t="s">
        <v>175</v>
      </c>
      <c r="C389" s="11" t="s">
        <v>124</v>
      </c>
      <c r="D389" s="123">
        <v>554</v>
      </c>
      <c r="E389" s="20">
        <v>144</v>
      </c>
      <c r="F389" s="21">
        <v>66</v>
      </c>
      <c r="G389" s="21">
        <v>209</v>
      </c>
      <c r="H389" s="20">
        <v>135</v>
      </c>
    </row>
    <row r="390" spans="1:8" hidden="1" outlineLevel="2">
      <c r="B390" s="12" t="s">
        <v>175</v>
      </c>
      <c r="C390" s="11" t="s">
        <v>125</v>
      </c>
      <c r="D390" s="123"/>
      <c r="E390" s="20"/>
      <c r="F390" s="21"/>
      <c r="G390" s="21"/>
      <c r="H390" s="20"/>
    </row>
    <row r="391" spans="1:8" hidden="1" outlineLevel="2">
      <c r="B391" s="12" t="s">
        <v>175</v>
      </c>
      <c r="C391" s="11" t="s">
        <v>126</v>
      </c>
      <c r="D391" s="123">
        <v>238</v>
      </c>
      <c r="E391" s="20">
        <v>50</v>
      </c>
      <c r="F391" s="135">
        <v>46</v>
      </c>
      <c r="G391" s="136">
        <v>92</v>
      </c>
      <c r="H391" s="136">
        <v>50</v>
      </c>
    </row>
    <row r="392" spans="1:8" hidden="1" outlineLevel="2">
      <c r="B392" s="12" t="s">
        <v>175</v>
      </c>
      <c r="C392" s="11" t="s">
        <v>127</v>
      </c>
      <c r="D392" s="123"/>
      <c r="E392" s="20"/>
      <c r="F392" s="21"/>
      <c r="G392" s="21"/>
      <c r="H392" s="20"/>
    </row>
    <row r="393" spans="1:8" hidden="1" outlineLevel="2">
      <c r="B393" s="12" t="s">
        <v>175</v>
      </c>
      <c r="C393" s="11" t="s">
        <v>128</v>
      </c>
      <c r="D393" s="123"/>
      <c r="E393" s="20"/>
      <c r="F393" s="21"/>
      <c r="G393" s="21"/>
      <c r="H393" s="20"/>
    </row>
    <row r="394" spans="1:8" ht="28.5" outlineLevel="1" collapsed="1">
      <c r="A394" s="117">
        <v>1</v>
      </c>
      <c r="B394" s="15" t="s">
        <v>176</v>
      </c>
      <c r="C394" s="11">
        <v>0</v>
      </c>
      <c r="D394" s="16">
        <v>1320</v>
      </c>
      <c r="E394" s="126">
        <v>309</v>
      </c>
      <c r="F394" s="126">
        <v>187</v>
      </c>
      <c r="G394" s="126">
        <v>520</v>
      </c>
      <c r="H394" s="16">
        <v>304</v>
      </c>
    </row>
    <row r="395" spans="1:8" ht="15" hidden="1" customHeight="1" outlineLevel="2">
      <c r="B395" s="12" t="s">
        <v>177</v>
      </c>
      <c r="C395" s="11" t="s">
        <v>120</v>
      </c>
      <c r="D395" s="123">
        <v>1</v>
      </c>
      <c r="E395" s="20"/>
      <c r="F395" s="21">
        <v>1</v>
      </c>
      <c r="G395" s="21"/>
      <c r="H395" s="20"/>
    </row>
    <row r="396" spans="1:8" hidden="1" outlineLevel="2">
      <c r="B396" s="13" t="s">
        <v>177</v>
      </c>
      <c r="C396" s="18" t="s">
        <v>121</v>
      </c>
      <c r="D396" s="123">
        <v>93</v>
      </c>
      <c r="E396" s="114">
        <v>45</v>
      </c>
      <c r="F396" s="115">
        <v>48</v>
      </c>
      <c r="G396" s="115"/>
      <c r="H396" s="114"/>
    </row>
    <row r="397" spans="1:8" hidden="1" outlineLevel="2">
      <c r="B397" s="12" t="s">
        <v>177</v>
      </c>
      <c r="C397" s="11" t="s">
        <v>122</v>
      </c>
      <c r="D397" s="123"/>
      <c r="E397" s="21"/>
      <c r="F397" s="21"/>
      <c r="G397" s="21"/>
      <c r="H397" s="20"/>
    </row>
    <row r="398" spans="1:8" hidden="1" outlineLevel="2">
      <c r="B398" s="14" t="s">
        <v>177</v>
      </c>
      <c r="C398" s="19" t="s">
        <v>123</v>
      </c>
      <c r="D398" s="123"/>
      <c r="E398" s="124"/>
      <c r="F398" s="124"/>
      <c r="G398" s="124"/>
      <c r="H398" s="123"/>
    </row>
    <row r="399" spans="1:8" hidden="1" outlineLevel="2">
      <c r="B399" s="12" t="s">
        <v>177</v>
      </c>
      <c r="C399" s="11" t="s">
        <v>124</v>
      </c>
      <c r="D399" s="123"/>
      <c r="E399" s="21"/>
      <c r="F399" s="21"/>
      <c r="G399" s="21"/>
      <c r="H399" s="20"/>
    </row>
    <row r="400" spans="1:8" hidden="1" outlineLevel="2">
      <c r="B400" s="12" t="s">
        <v>177</v>
      </c>
      <c r="C400" s="11" t="s">
        <v>125</v>
      </c>
      <c r="D400" s="123"/>
      <c r="E400" s="21"/>
      <c r="F400" s="21"/>
      <c r="G400" s="21"/>
      <c r="H400" s="20"/>
    </row>
    <row r="401" spans="1:8" hidden="1" outlineLevel="2">
      <c r="B401" s="12" t="s">
        <v>177</v>
      </c>
      <c r="C401" s="11" t="s">
        <v>126</v>
      </c>
      <c r="D401" s="123"/>
      <c r="E401" s="21"/>
      <c r="F401" s="21"/>
      <c r="G401" s="21"/>
      <c r="H401" s="20"/>
    </row>
    <row r="402" spans="1:8" hidden="1" outlineLevel="2">
      <c r="B402" s="12" t="s">
        <v>177</v>
      </c>
      <c r="C402" s="11" t="s">
        <v>127</v>
      </c>
      <c r="D402" s="123"/>
      <c r="E402" s="21"/>
      <c r="F402" s="21"/>
      <c r="G402" s="21"/>
      <c r="H402" s="20"/>
    </row>
    <row r="403" spans="1:8" hidden="1" outlineLevel="2">
      <c r="B403" s="12" t="s">
        <v>177</v>
      </c>
      <c r="C403" s="11" t="s">
        <v>128</v>
      </c>
      <c r="D403" s="123"/>
      <c r="E403" s="21"/>
      <c r="F403" s="21"/>
      <c r="G403" s="21"/>
      <c r="H403" s="20"/>
    </row>
    <row r="404" spans="1:8" ht="28.5" outlineLevel="1" collapsed="1">
      <c r="A404" s="117">
        <v>1</v>
      </c>
      <c r="B404" s="15" t="s">
        <v>178</v>
      </c>
      <c r="C404" s="11">
        <v>0</v>
      </c>
      <c r="D404" s="16">
        <v>94</v>
      </c>
      <c r="E404" s="126">
        <v>45</v>
      </c>
      <c r="F404" s="126">
        <v>49</v>
      </c>
      <c r="G404" s="126">
        <v>0</v>
      </c>
      <c r="H404" s="16">
        <v>0</v>
      </c>
    </row>
    <row r="405" spans="1:8" ht="15" hidden="1" customHeight="1" outlineLevel="2">
      <c r="B405" s="12" t="s">
        <v>179</v>
      </c>
      <c r="C405" s="11" t="s">
        <v>120</v>
      </c>
      <c r="D405" s="123">
        <v>24</v>
      </c>
      <c r="E405" s="20"/>
      <c r="F405" s="21"/>
      <c r="G405" s="21">
        <v>17</v>
      </c>
      <c r="H405" s="20">
        <v>7</v>
      </c>
    </row>
    <row r="406" spans="1:8" hidden="1" outlineLevel="2">
      <c r="B406" s="12" t="s">
        <v>179</v>
      </c>
      <c r="C406" s="18" t="s">
        <v>121</v>
      </c>
      <c r="D406" s="123">
        <v>741</v>
      </c>
      <c r="E406" s="114"/>
      <c r="F406" s="115"/>
      <c r="G406" s="115">
        <v>431</v>
      </c>
      <c r="H406" s="114">
        <v>310</v>
      </c>
    </row>
    <row r="407" spans="1:8" hidden="1" outlineLevel="2">
      <c r="B407" s="12" t="s">
        <v>179</v>
      </c>
      <c r="C407" s="11" t="s">
        <v>122</v>
      </c>
      <c r="D407" s="123"/>
      <c r="E407" s="21"/>
      <c r="F407" s="21"/>
      <c r="G407" s="21"/>
      <c r="H407" s="20"/>
    </row>
    <row r="408" spans="1:8" hidden="1" outlineLevel="2">
      <c r="B408" s="12" t="s">
        <v>179</v>
      </c>
      <c r="C408" s="19" t="s">
        <v>123</v>
      </c>
      <c r="D408" s="123"/>
      <c r="E408" s="124"/>
      <c r="F408" s="124"/>
      <c r="G408" s="124"/>
      <c r="H408" s="123"/>
    </row>
    <row r="409" spans="1:8" hidden="1" outlineLevel="2">
      <c r="B409" s="12" t="s">
        <v>179</v>
      </c>
      <c r="C409" s="11" t="s">
        <v>124</v>
      </c>
      <c r="D409" s="123"/>
      <c r="E409" s="21"/>
      <c r="F409" s="21"/>
      <c r="G409" s="21"/>
      <c r="H409" s="20"/>
    </row>
    <row r="410" spans="1:8" hidden="1" outlineLevel="2">
      <c r="B410" s="12" t="s">
        <v>179</v>
      </c>
      <c r="C410" s="11" t="s">
        <v>125</v>
      </c>
      <c r="D410" s="123"/>
      <c r="E410" s="21"/>
      <c r="F410" s="21"/>
      <c r="G410" s="21"/>
      <c r="H410" s="20"/>
    </row>
    <row r="411" spans="1:8" hidden="1" outlineLevel="2">
      <c r="B411" s="12" t="s">
        <v>179</v>
      </c>
      <c r="C411" s="11" t="s">
        <v>126</v>
      </c>
      <c r="D411" s="123"/>
      <c r="E411" s="21"/>
      <c r="F411" s="21"/>
      <c r="G411" s="21"/>
      <c r="H411" s="20"/>
    </row>
    <row r="412" spans="1:8" hidden="1" outlineLevel="2">
      <c r="B412" s="12" t="s">
        <v>179</v>
      </c>
      <c r="C412" s="11" t="s">
        <v>127</v>
      </c>
      <c r="D412" s="123"/>
      <c r="E412" s="21"/>
      <c r="F412" s="21"/>
      <c r="G412" s="21"/>
      <c r="H412" s="20"/>
    </row>
    <row r="413" spans="1:8" hidden="1" outlineLevel="2">
      <c r="B413" s="12" t="s">
        <v>179</v>
      </c>
      <c r="C413" s="11" t="s">
        <v>128</v>
      </c>
      <c r="D413" s="123"/>
      <c r="E413" s="21"/>
      <c r="F413" s="21"/>
      <c r="G413" s="21"/>
      <c r="H413" s="20"/>
    </row>
    <row r="414" spans="1:8" outlineLevel="1" collapsed="1">
      <c r="A414" s="117">
        <v>1</v>
      </c>
      <c r="B414" s="15" t="s">
        <v>180</v>
      </c>
      <c r="C414" s="11">
        <v>0</v>
      </c>
      <c r="D414" s="16">
        <v>765</v>
      </c>
      <c r="E414" s="126">
        <v>0</v>
      </c>
      <c r="F414" s="126">
        <v>0</v>
      </c>
      <c r="G414" s="126">
        <v>448</v>
      </c>
      <c r="H414" s="16">
        <v>317</v>
      </c>
    </row>
    <row r="415" spans="1:8" ht="15" hidden="1" customHeight="1" outlineLevel="2">
      <c r="B415" s="12" t="s">
        <v>115</v>
      </c>
      <c r="C415" s="11" t="s">
        <v>120</v>
      </c>
      <c r="D415" s="123"/>
      <c r="E415" s="21"/>
      <c r="F415" s="21"/>
      <c r="G415" s="21"/>
      <c r="H415" s="20"/>
    </row>
    <row r="416" spans="1:8" hidden="1" outlineLevel="2">
      <c r="B416" s="13" t="s">
        <v>115</v>
      </c>
      <c r="C416" s="18" t="s">
        <v>121</v>
      </c>
      <c r="D416" s="123">
        <v>200</v>
      </c>
      <c r="E416" s="115">
        <v>30</v>
      </c>
      <c r="F416" s="115">
        <v>59</v>
      </c>
      <c r="G416" s="115">
        <v>66</v>
      </c>
      <c r="H416" s="114">
        <v>45</v>
      </c>
    </row>
    <row r="417" spans="1:8" hidden="1" outlineLevel="2">
      <c r="B417" s="12" t="s">
        <v>115</v>
      </c>
      <c r="C417" s="11" t="s">
        <v>122</v>
      </c>
      <c r="D417" s="123"/>
      <c r="E417" s="21"/>
      <c r="F417" s="21"/>
      <c r="G417" s="21"/>
      <c r="H417" s="20"/>
    </row>
    <row r="418" spans="1:8" hidden="1" outlineLevel="2">
      <c r="B418" s="14" t="s">
        <v>115</v>
      </c>
      <c r="C418" s="19" t="s">
        <v>123</v>
      </c>
      <c r="D418" s="123"/>
      <c r="E418" s="124"/>
      <c r="F418" s="124"/>
      <c r="G418" s="124"/>
      <c r="H418" s="123"/>
    </row>
    <row r="419" spans="1:8" hidden="1" outlineLevel="2">
      <c r="B419" s="12" t="s">
        <v>115</v>
      </c>
      <c r="C419" s="11" t="s">
        <v>124</v>
      </c>
      <c r="D419" s="123"/>
      <c r="E419" s="21"/>
      <c r="F419" s="21"/>
      <c r="G419" s="21"/>
      <c r="H419" s="20"/>
    </row>
    <row r="420" spans="1:8" hidden="1" outlineLevel="2">
      <c r="B420" s="12" t="s">
        <v>115</v>
      </c>
      <c r="C420" s="11" t="s">
        <v>125</v>
      </c>
      <c r="D420" s="123"/>
      <c r="E420" s="21"/>
      <c r="F420" s="21"/>
      <c r="G420" s="21"/>
      <c r="H420" s="20"/>
    </row>
    <row r="421" spans="1:8" hidden="1" outlineLevel="2">
      <c r="B421" s="12" t="s">
        <v>115</v>
      </c>
      <c r="C421" s="11" t="s">
        <v>126</v>
      </c>
      <c r="D421" s="123"/>
      <c r="E421" s="21"/>
      <c r="F421" s="21"/>
      <c r="G421" s="21"/>
      <c r="H421" s="20"/>
    </row>
    <row r="422" spans="1:8" hidden="1" outlineLevel="2">
      <c r="B422" s="12" t="s">
        <v>115</v>
      </c>
      <c r="C422" s="11" t="s">
        <v>127</v>
      </c>
      <c r="D422" s="123"/>
      <c r="E422" s="21"/>
      <c r="F422" s="21"/>
      <c r="G422" s="21"/>
      <c r="H422" s="20"/>
    </row>
    <row r="423" spans="1:8" hidden="1" outlineLevel="2">
      <c r="B423" s="12" t="s">
        <v>115</v>
      </c>
      <c r="C423" s="11" t="s">
        <v>128</v>
      </c>
      <c r="D423" s="123"/>
      <c r="E423" s="21"/>
      <c r="F423" s="21"/>
      <c r="G423" s="21"/>
      <c r="H423" s="20"/>
    </row>
    <row r="424" spans="1:8" ht="28.5" outlineLevel="1" collapsed="1">
      <c r="A424" s="117">
        <v>1</v>
      </c>
      <c r="B424" s="15" t="s">
        <v>116</v>
      </c>
      <c r="C424" s="11">
        <v>0</v>
      </c>
      <c r="D424" s="16">
        <v>200</v>
      </c>
      <c r="E424" s="126">
        <v>30</v>
      </c>
      <c r="F424" s="126">
        <v>59</v>
      </c>
      <c r="G424" s="126">
        <v>66</v>
      </c>
      <c r="H424" s="16">
        <v>45</v>
      </c>
    </row>
    <row r="425" spans="1:8" ht="15" hidden="1" customHeight="1" outlineLevel="2">
      <c r="B425" s="12" t="s">
        <v>181</v>
      </c>
      <c r="C425" s="11" t="s">
        <v>120</v>
      </c>
      <c r="D425" s="123">
        <v>34</v>
      </c>
      <c r="E425" s="21">
        <v>3</v>
      </c>
      <c r="F425" s="21">
        <v>5</v>
      </c>
      <c r="G425" s="21">
        <v>13</v>
      </c>
      <c r="H425" s="20">
        <v>13</v>
      </c>
    </row>
    <row r="426" spans="1:8" hidden="1" outlineLevel="2">
      <c r="B426" s="13" t="s">
        <v>181</v>
      </c>
      <c r="C426" s="18" t="s">
        <v>121</v>
      </c>
      <c r="D426" s="123"/>
      <c r="E426" s="115"/>
      <c r="F426" s="115"/>
      <c r="G426" s="115"/>
      <c r="H426" s="114"/>
    </row>
    <row r="427" spans="1:8" hidden="1" outlineLevel="2">
      <c r="B427" s="12" t="s">
        <v>181</v>
      </c>
      <c r="C427" s="11" t="s">
        <v>122</v>
      </c>
      <c r="D427" s="123">
        <v>16</v>
      </c>
      <c r="E427" s="21">
        <v>3</v>
      </c>
      <c r="F427" s="21">
        <v>3</v>
      </c>
      <c r="G427" s="21">
        <v>5</v>
      </c>
      <c r="H427" s="20">
        <v>5</v>
      </c>
    </row>
    <row r="428" spans="1:8" hidden="1" outlineLevel="2">
      <c r="B428" s="14" t="s">
        <v>181</v>
      </c>
      <c r="C428" s="19" t="s">
        <v>123</v>
      </c>
      <c r="D428" s="123"/>
      <c r="E428" s="124"/>
      <c r="F428" s="124"/>
      <c r="G428" s="124"/>
      <c r="H428" s="123"/>
    </row>
    <row r="429" spans="1:8" hidden="1" outlineLevel="2">
      <c r="B429" s="12" t="s">
        <v>181</v>
      </c>
      <c r="C429" s="11" t="s">
        <v>124</v>
      </c>
      <c r="D429" s="123">
        <v>113</v>
      </c>
      <c r="E429" s="21">
        <v>7</v>
      </c>
      <c r="F429" s="21">
        <v>27</v>
      </c>
      <c r="G429" s="21">
        <v>30</v>
      </c>
      <c r="H429" s="20">
        <v>49</v>
      </c>
    </row>
    <row r="430" spans="1:8" hidden="1" outlineLevel="2">
      <c r="B430" s="12" t="s">
        <v>181</v>
      </c>
      <c r="C430" s="11" t="s">
        <v>125</v>
      </c>
      <c r="D430" s="123"/>
      <c r="E430" s="21"/>
      <c r="F430" s="21"/>
      <c r="G430" s="21"/>
      <c r="H430" s="20"/>
    </row>
    <row r="431" spans="1:8" hidden="1" outlineLevel="2">
      <c r="B431" s="12" t="s">
        <v>181</v>
      </c>
      <c r="C431" s="11" t="s">
        <v>126</v>
      </c>
      <c r="D431" s="123">
        <v>4</v>
      </c>
      <c r="E431" s="21"/>
      <c r="F431" s="21">
        <v>1</v>
      </c>
      <c r="G431" s="21">
        <v>1</v>
      </c>
      <c r="H431" s="20">
        <v>2</v>
      </c>
    </row>
    <row r="432" spans="1:8" hidden="1" outlineLevel="2">
      <c r="B432" s="12" t="s">
        <v>181</v>
      </c>
      <c r="C432" s="11" t="s">
        <v>127</v>
      </c>
      <c r="D432" s="123"/>
      <c r="E432" s="21"/>
      <c r="F432" s="21"/>
      <c r="G432" s="21"/>
      <c r="H432" s="20"/>
    </row>
    <row r="433" spans="1:8" hidden="1" outlineLevel="2">
      <c r="B433" s="12" t="s">
        <v>181</v>
      </c>
      <c r="C433" s="11" t="s">
        <v>128</v>
      </c>
      <c r="D433" s="123"/>
      <c r="E433" s="21"/>
      <c r="F433" s="21"/>
      <c r="G433" s="21"/>
      <c r="H433" s="20"/>
    </row>
    <row r="434" spans="1:8" ht="28.5" outlineLevel="1" collapsed="1">
      <c r="A434" s="117">
        <v>1</v>
      </c>
      <c r="B434" s="22" t="s">
        <v>182</v>
      </c>
      <c r="C434" s="11">
        <v>0</v>
      </c>
      <c r="D434" s="16">
        <v>167</v>
      </c>
      <c r="E434" s="126">
        <v>13</v>
      </c>
      <c r="F434" s="126">
        <v>36</v>
      </c>
      <c r="G434" s="126">
        <v>49</v>
      </c>
      <c r="H434" s="16">
        <v>69</v>
      </c>
    </row>
    <row r="435" spans="1:8">
      <c r="A435" s="117">
        <v>1</v>
      </c>
      <c r="B435" s="15" t="s">
        <v>117</v>
      </c>
      <c r="C435" s="11">
        <v>0</v>
      </c>
      <c r="D435" s="17">
        <v>41475</v>
      </c>
      <c r="E435" s="126">
        <v>8992</v>
      </c>
      <c r="F435" s="126">
        <v>10292</v>
      </c>
      <c r="G435" s="126">
        <v>11598</v>
      </c>
      <c r="H435" s="16">
        <v>10593</v>
      </c>
    </row>
    <row r="439" spans="1:8" s="141" customFormat="1">
      <c r="A439" s="137"/>
      <c r="B439" s="138" t="s">
        <v>183</v>
      </c>
      <c r="C439" s="139"/>
      <c r="D439" s="122">
        <v>31</v>
      </c>
      <c r="E439" s="140"/>
      <c r="F439" s="140"/>
      <c r="G439" s="140"/>
    </row>
    <row r="440" spans="1:8" s="141" customFormat="1">
      <c r="A440" s="137"/>
      <c r="B440" s="142" t="s">
        <v>184</v>
      </c>
      <c r="C440" s="139"/>
      <c r="D440" s="122">
        <v>41506</v>
      </c>
      <c r="E440" s="140"/>
      <c r="F440" s="140"/>
      <c r="G440" s="140"/>
    </row>
    <row r="441" spans="1:8" s="141" customFormat="1">
      <c r="A441" s="137"/>
      <c r="B441" s="118"/>
      <c r="C441" s="140"/>
      <c r="D441" s="143"/>
      <c r="E441" s="140"/>
      <c r="F441" s="140"/>
      <c r="G441" s="140"/>
    </row>
    <row r="442" spans="1:8" s="147" customFormat="1" ht="16.5" customHeight="1" thickBot="1">
      <c r="A442" s="144"/>
      <c r="B442" s="118"/>
      <c r="C442" s="145"/>
      <c r="D442" s="146"/>
      <c r="E442" s="145"/>
      <c r="F442" s="145"/>
      <c r="G442" s="145"/>
    </row>
    <row r="443" spans="1:8" s="141" customFormat="1" thickBot="1">
      <c r="A443" s="137"/>
      <c r="B443" s="148" t="s">
        <v>185</v>
      </c>
      <c r="C443" s="149"/>
      <c r="D443" s="149">
        <v>35627</v>
      </c>
      <c r="E443" s="145"/>
      <c r="F443" s="145"/>
      <c r="G443" s="145"/>
    </row>
    <row r="444" spans="1:8" s="141" customFormat="1">
      <c r="A444" s="137"/>
      <c r="B444" s="138"/>
      <c r="C444" s="140"/>
      <c r="D444" s="140"/>
      <c r="E444" s="140"/>
      <c r="F444" s="140"/>
      <c r="G444" s="140"/>
    </row>
    <row r="445" spans="1:8" s="141" customFormat="1">
      <c r="A445" s="137"/>
      <c r="B445" s="138"/>
      <c r="C445" s="111"/>
      <c r="D445" s="106">
        <v>-5879</v>
      </c>
      <c r="E445" s="118"/>
      <c r="F445" s="118"/>
      <c r="G445" s="118"/>
    </row>
  </sheetData>
  <autoFilter ref="A4:H434"/>
  <mergeCells count="1">
    <mergeCell ref="B2:H2"/>
  </mergeCells>
  <conditionalFormatting sqref="A1:XFD1048576">
    <cfRule type="expression" dxfId="32" priority="87">
      <formula>$A1=1</formula>
    </cfRule>
  </conditionalFormatting>
  <conditionalFormatting sqref="E295:H295">
    <cfRule type="expression" dxfId="31" priority="86">
      <formula>$A295=1</formula>
    </cfRule>
  </conditionalFormatting>
  <conditionalFormatting sqref="A439:XFD445">
    <cfRule type="expression" dxfId="30" priority="81">
      <formula>$A439=2</formula>
    </cfRule>
    <cfRule type="expression" dxfId="29" priority="82">
      <formula>$A439=1</formula>
    </cfRule>
  </conditionalFormatting>
  <conditionalFormatting sqref="E391:H391">
    <cfRule type="expression" dxfId="28" priority="69">
      <formula>$A391=2</formula>
    </cfRule>
    <cfRule type="expression" dxfId="27" priority="70">
      <formula>$A391=1</formula>
    </cfRule>
  </conditionalFormatting>
  <conditionalFormatting sqref="E391:H391">
    <cfRule type="expression" dxfId="26" priority="67">
      <formula>$A391=2</formula>
    </cfRule>
    <cfRule type="expression" dxfId="25" priority="68">
      <formula>$A391=1</formula>
    </cfRule>
  </conditionalFormatting>
  <conditionalFormatting sqref="H391">
    <cfRule type="expression" dxfId="24" priority="65">
      <formula>$A391=2</formula>
    </cfRule>
    <cfRule type="expression" dxfId="23" priority="66">
      <formula>$A391=1</formula>
    </cfRule>
  </conditionalFormatting>
  <conditionalFormatting sqref="E391:G391">
    <cfRule type="expression" dxfId="22" priority="63">
      <formula>$A391=2</formula>
    </cfRule>
    <cfRule type="expression" dxfId="21" priority="64">
      <formula>$A391=1</formula>
    </cfRule>
  </conditionalFormatting>
  <conditionalFormatting sqref="E391:H391">
    <cfRule type="expression" dxfId="20" priority="61">
      <formula>$A391=2</formula>
    </cfRule>
    <cfRule type="expression" dxfId="19" priority="62">
      <formula>$A391=1</formula>
    </cfRule>
  </conditionalFormatting>
  <conditionalFormatting sqref="E391:H391">
    <cfRule type="expression" dxfId="18" priority="59">
      <formula>$A391=2</formula>
    </cfRule>
    <cfRule type="expression" dxfId="17" priority="60">
      <formula>$A391=1</formula>
    </cfRule>
  </conditionalFormatting>
  <conditionalFormatting sqref="D295">
    <cfRule type="expression" dxfId="16" priority="52">
      <formula>$A295=1</formula>
    </cfRule>
  </conditionalFormatting>
  <conditionalFormatting sqref="E295">
    <cfRule type="expression" dxfId="15" priority="46">
      <formula>$A295=1</formula>
    </cfRule>
  </conditionalFormatting>
  <conditionalFormatting sqref="B439:C443">
    <cfRule type="expression" dxfId="14" priority="13">
      <formula>$A439=2</formula>
    </cfRule>
    <cfRule type="expression" dxfId="13" priority="14">
      <formula>$A439=1</formula>
    </cfRule>
  </conditionalFormatting>
  <conditionalFormatting sqref="C445:D445">
    <cfRule type="expression" dxfId="12" priority="11">
      <formula>$A445=2</formula>
    </cfRule>
    <cfRule type="expression" dxfId="11" priority="12">
      <formula>$A445=1</formula>
    </cfRule>
  </conditionalFormatting>
  <conditionalFormatting sqref="B439:C443 B445:C445">
    <cfRule type="expression" dxfId="10" priority="8">
      <formula>$B439=3</formula>
    </cfRule>
    <cfRule type="expression" dxfId="9" priority="9">
      <formula>$B439=2</formula>
    </cfRule>
    <cfRule type="expression" dxfId="8" priority="10">
      <formula>$B439=1</formula>
    </cfRule>
  </conditionalFormatting>
  <conditionalFormatting sqref="B439:C443 B445:C445">
    <cfRule type="expression" dxfId="7" priority="4">
      <formula>$A439=4</formula>
    </cfRule>
    <cfRule type="expression" dxfId="6" priority="5">
      <formula>$A439=3</formula>
    </cfRule>
    <cfRule type="expression" dxfId="5" priority="6">
      <formula>$A439=2</formula>
    </cfRule>
    <cfRule type="expression" dxfId="4" priority="7">
      <formula>$A439=1</formula>
    </cfRule>
  </conditionalFormatting>
  <conditionalFormatting sqref="B1">
    <cfRule type="expression" dxfId="3" priority="1">
      <formula>$A1=1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5"/>
  <sheetViews>
    <sheetView zoomScaleNormal="100" zoomScaleSheetLayoutView="70" workbookViewId="0">
      <pane xSplit="3" ySplit="4" topLeftCell="D5" activePane="bottomRight" state="frozen"/>
      <selection activeCell="Q561" sqref="Q561"/>
      <selection pane="topRight" activeCell="Q561" sqref="Q561"/>
      <selection pane="bottomLeft" activeCell="Q561" sqref="Q561"/>
      <selection pane="bottomRight" activeCell="E139" sqref="E139"/>
    </sheetView>
  </sheetViews>
  <sheetFormatPr defaultRowHeight="15.75" outlineLevelRow="2"/>
  <cols>
    <col min="1" max="1" width="4.140625" style="151" hidden="1" customWidth="1"/>
    <col min="2" max="2" width="67.28515625" style="151" customWidth="1"/>
    <col min="3" max="3" width="82.7109375" style="151" customWidth="1"/>
    <col min="4" max="4" width="24.42578125" style="152" customWidth="1"/>
    <col min="5" max="7" width="9.140625" style="151"/>
    <col min="8" max="8" width="9.28515625" style="151" bestFit="1" customWidth="1"/>
    <col min="9" max="16384" width="9.140625" style="151"/>
  </cols>
  <sheetData>
    <row r="1" spans="2:8">
      <c r="B1" s="151" t="s">
        <v>0</v>
      </c>
    </row>
    <row r="2" spans="2:8" ht="65.25" customHeight="1">
      <c r="B2" s="272" t="s">
        <v>1</v>
      </c>
      <c r="C2" s="272"/>
      <c r="D2" s="272"/>
      <c r="F2" s="153"/>
      <c r="G2" s="153"/>
    </row>
    <row r="3" spans="2:8">
      <c r="B3" s="273"/>
      <c r="C3" s="273"/>
      <c r="D3" s="273"/>
    </row>
    <row r="4" spans="2:8" ht="63" customHeight="1">
      <c r="B4" s="6" t="s">
        <v>2</v>
      </c>
      <c r="C4" s="7" t="s">
        <v>3</v>
      </c>
      <c r="D4" s="1" t="s">
        <v>118</v>
      </c>
      <c r="E4" s="154" t="s">
        <v>4</v>
      </c>
      <c r="F4" s="154" t="s">
        <v>5</v>
      </c>
      <c r="G4" s="154" t="s">
        <v>6</v>
      </c>
      <c r="H4" s="154" t="s">
        <v>7</v>
      </c>
    </row>
    <row r="5" spans="2:8" ht="15.75" hidden="1" customHeight="1" outlineLevel="2">
      <c r="B5" s="155" t="s">
        <v>8</v>
      </c>
      <c r="C5" s="8" t="s">
        <v>9</v>
      </c>
      <c r="D5" s="3">
        <v>1394</v>
      </c>
      <c r="E5" s="4">
        <v>95</v>
      </c>
      <c r="F5" s="4">
        <v>66</v>
      </c>
      <c r="G5" s="4">
        <v>350</v>
      </c>
      <c r="H5" s="4">
        <f>349+255+279</f>
        <v>883</v>
      </c>
    </row>
    <row r="6" spans="2:8" ht="15.75" hidden="1" customHeight="1" outlineLevel="2">
      <c r="B6" s="155" t="s">
        <v>8</v>
      </c>
      <c r="C6" s="8" t="s">
        <v>10</v>
      </c>
      <c r="D6" s="3"/>
      <c r="E6" s="4"/>
      <c r="F6" s="4"/>
      <c r="G6" s="4"/>
      <c r="H6" s="4"/>
    </row>
    <row r="7" spans="2:8" ht="15.75" hidden="1" customHeight="1" outlineLevel="2">
      <c r="B7" s="155" t="s">
        <v>8</v>
      </c>
      <c r="C7" s="8" t="s">
        <v>11</v>
      </c>
      <c r="D7" s="3"/>
      <c r="E7" s="4"/>
      <c r="F7" s="4"/>
      <c r="G7" s="4"/>
      <c r="H7" s="4"/>
    </row>
    <row r="8" spans="2:8" ht="15.75" hidden="1" customHeight="1" outlineLevel="2">
      <c r="B8" s="155" t="s">
        <v>8</v>
      </c>
      <c r="C8" s="8" t="s">
        <v>12</v>
      </c>
      <c r="D8" s="3"/>
      <c r="E8" s="4"/>
      <c r="F8" s="4"/>
      <c r="G8" s="4"/>
      <c r="H8" s="4"/>
    </row>
    <row r="9" spans="2:8" ht="15.75" hidden="1" customHeight="1" outlineLevel="2">
      <c r="B9" s="155" t="s">
        <v>8</v>
      </c>
      <c r="C9" s="8" t="s">
        <v>13</v>
      </c>
      <c r="D9" s="3"/>
      <c r="E9" s="4"/>
      <c r="F9" s="4"/>
      <c r="G9" s="4"/>
      <c r="H9" s="4"/>
    </row>
    <row r="10" spans="2:8" ht="15.75" hidden="1" customHeight="1" outlineLevel="2">
      <c r="B10" s="155" t="s">
        <v>8</v>
      </c>
      <c r="C10" s="8" t="s">
        <v>14</v>
      </c>
      <c r="D10" s="3"/>
      <c r="E10" s="4"/>
      <c r="F10" s="4"/>
      <c r="G10" s="4"/>
      <c r="H10" s="4"/>
    </row>
    <row r="11" spans="2:8" ht="15.75" hidden="1" customHeight="1" outlineLevel="2">
      <c r="B11" s="155" t="s">
        <v>8</v>
      </c>
      <c r="C11" s="8" t="s">
        <v>15</v>
      </c>
      <c r="D11" s="3"/>
      <c r="E11" s="4"/>
      <c r="F11" s="4"/>
      <c r="G11" s="4"/>
      <c r="H11" s="4"/>
    </row>
    <row r="12" spans="2:8" ht="15.75" hidden="1" customHeight="1" outlineLevel="2">
      <c r="B12" s="155" t="s">
        <v>8</v>
      </c>
      <c r="C12" s="8" t="s">
        <v>16</v>
      </c>
      <c r="D12" s="3"/>
      <c r="E12" s="4"/>
      <c r="F12" s="4"/>
      <c r="G12" s="4"/>
      <c r="H12" s="4"/>
    </row>
    <row r="13" spans="2:8" ht="15.75" hidden="1" customHeight="1" outlineLevel="2">
      <c r="B13" s="155" t="s">
        <v>8</v>
      </c>
      <c r="C13" s="8" t="s">
        <v>17</v>
      </c>
      <c r="D13" s="3"/>
      <c r="E13" s="4"/>
      <c r="F13" s="4"/>
      <c r="G13" s="4"/>
      <c r="H13" s="4"/>
    </row>
    <row r="14" spans="2:8" ht="15.75" hidden="1" customHeight="1" outlineLevel="2">
      <c r="B14" s="155" t="s">
        <v>8</v>
      </c>
      <c r="C14" s="8" t="s">
        <v>18</v>
      </c>
      <c r="D14" s="3"/>
      <c r="E14" s="4"/>
      <c r="F14" s="4"/>
      <c r="G14" s="4"/>
      <c r="H14" s="4"/>
    </row>
    <row r="15" spans="2:8" ht="15.75" hidden="1" customHeight="1" outlineLevel="2">
      <c r="B15" s="155" t="s">
        <v>8</v>
      </c>
      <c r="C15" s="8" t="s">
        <v>19</v>
      </c>
      <c r="D15" s="3"/>
      <c r="E15" s="4"/>
      <c r="F15" s="4"/>
      <c r="G15" s="4"/>
      <c r="H15" s="4"/>
    </row>
    <row r="16" spans="2:8" ht="15.75" hidden="1" customHeight="1" outlineLevel="2">
      <c r="B16" s="155" t="s">
        <v>8</v>
      </c>
      <c r="C16" s="8" t="s">
        <v>20</v>
      </c>
      <c r="D16" s="3"/>
      <c r="E16" s="4"/>
      <c r="F16" s="4"/>
      <c r="G16" s="4"/>
      <c r="H16" s="4"/>
    </row>
    <row r="17" spans="1:8" ht="15.75" hidden="1" customHeight="1" outlineLevel="2">
      <c r="B17" s="155" t="s">
        <v>8</v>
      </c>
      <c r="C17" s="8" t="s">
        <v>21</v>
      </c>
      <c r="D17" s="3"/>
      <c r="E17" s="4"/>
      <c r="F17" s="4"/>
      <c r="G17" s="4"/>
      <c r="H17" s="4"/>
    </row>
    <row r="18" spans="1:8" ht="15.75" hidden="1" customHeight="1" outlineLevel="2">
      <c r="B18" s="155" t="s">
        <v>8</v>
      </c>
      <c r="C18" s="8" t="s">
        <v>22</v>
      </c>
      <c r="D18" s="3"/>
      <c r="E18" s="4"/>
      <c r="F18" s="4"/>
      <c r="G18" s="4"/>
      <c r="H18" s="4"/>
    </row>
    <row r="19" spans="1:8" ht="15.75" customHeight="1" outlineLevel="1" collapsed="1">
      <c r="A19" s="151">
        <v>1</v>
      </c>
      <c r="B19" s="156" t="s">
        <v>23</v>
      </c>
      <c r="C19" s="8">
        <f t="shared" ref="C19:D19" si="0">SUBTOTAL(9,C5:C18)</f>
        <v>0</v>
      </c>
      <c r="D19" s="3">
        <f t="shared" si="0"/>
        <v>1394</v>
      </c>
      <c r="E19" s="157">
        <f>SUBTOTAL(9,E5:E18)</f>
        <v>95</v>
      </c>
      <c r="F19" s="157">
        <f>SUBTOTAL(9,F5:F18)</f>
        <v>66</v>
      </c>
      <c r="G19" s="157">
        <f>SUBTOTAL(9,G5:G18)</f>
        <v>350</v>
      </c>
      <c r="H19" s="157">
        <f>SUBTOTAL(9,H5:H18)</f>
        <v>883</v>
      </c>
    </row>
    <row r="20" spans="1:8" ht="15.75" hidden="1" customHeight="1" outlineLevel="2">
      <c r="B20" s="155" t="s">
        <v>24</v>
      </c>
      <c r="C20" s="8" t="s">
        <v>9</v>
      </c>
      <c r="D20" s="3">
        <v>208</v>
      </c>
      <c r="E20" s="4">
        <v>2</v>
      </c>
      <c r="F20" s="4">
        <v>11</v>
      </c>
      <c r="G20" s="4">
        <v>52</v>
      </c>
      <c r="H20" s="4">
        <f>52+50+41</f>
        <v>143</v>
      </c>
    </row>
    <row r="21" spans="1:8" ht="15.75" hidden="1" customHeight="1" outlineLevel="2">
      <c r="B21" s="155" t="s">
        <v>24</v>
      </c>
      <c r="C21" s="8" t="s">
        <v>10</v>
      </c>
      <c r="D21" s="3"/>
      <c r="E21" s="4"/>
      <c r="F21" s="4"/>
      <c r="G21" s="4"/>
      <c r="H21" s="4"/>
    </row>
    <row r="22" spans="1:8" ht="15.75" hidden="1" customHeight="1" outlineLevel="2">
      <c r="B22" s="155" t="s">
        <v>24</v>
      </c>
      <c r="C22" s="8" t="s">
        <v>11</v>
      </c>
      <c r="D22" s="3"/>
      <c r="E22" s="4"/>
      <c r="F22" s="4"/>
      <c r="G22" s="4"/>
      <c r="H22" s="4"/>
    </row>
    <row r="23" spans="1:8" ht="15.75" hidden="1" customHeight="1" outlineLevel="2">
      <c r="B23" s="155" t="s">
        <v>24</v>
      </c>
      <c r="C23" s="8" t="s">
        <v>12</v>
      </c>
      <c r="D23" s="3"/>
      <c r="E23" s="4"/>
      <c r="F23" s="4"/>
      <c r="G23" s="4"/>
      <c r="H23" s="4"/>
    </row>
    <row r="24" spans="1:8" ht="15.75" hidden="1" customHeight="1" outlineLevel="2">
      <c r="B24" s="155" t="s">
        <v>24</v>
      </c>
      <c r="C24" s="8" t="s">
        <v>13</v>
      </c>
      <c r="D24" s="3"/>
      <c r="E24" s="4"/>
      <c r="F24" s="4"/>
      <c r="G24" s="4"/>
      <c r="H24" s="4"/>
    </row>
    <row r="25" spans="1:8" ht="15.75" hidden="1" customHeight="1" outlineLevel="2">
      <c r="B25" s="155" t="s">
        <v>24</v>
      </c>
      <c r="C25" s="8" t="s">
        <v>14</v>
      </c>
      <c r="D25" s="3"/>
      <c r="E25" s="4"/>
      <c r="F25" s="4"/>
      <c r="G25" s="4"/>
      <c r="H25" s="4"/>
    </row>
    <row r="26" spans="1:8" ht="15.75" hidden="1" customHeight="1" outlineLevel="2">
      <c r="B26" s="155" t="s">
        <v>24</v>
      </c>
      <c r="C26" s="8" t="s">
        <v>15</v>
      </c>
      <c r="D26" s="3"/>
      <c r="E26" s="4"/>
      <c r="F26" s="4"/>
      <c r="G26" s="4"/>
      <c r="H26" s="4"/>
    </row>
    <row r="27" spans="1:8" ht="15.75" hidden="1" customHeight="1" outlineLevel="2">
      <c r="B27" s="155" t="s">
        <v>24</v>
      </c>
      <c r="C27" s="8" t="s">
        <v>16</v>
      </c>
      <c r="D27" s="3"/>
      <c r="E27" s="4"/>
      <c r="F27" s="4"/>
      <c r="G27" s="4"/>
      <c r="H27" s="4"/>
    </row>
    <row r="28" spans="1:8" ht="15.75" hidden="1" customHeight="1" outlineLevel="2">
      <c r="B28" s="155" t="s">
        <v>24</v>
      </c>
      <c r="C28" s="8" t="s">
        <v>17</v>
      </c>
      <c r="D28" s="3"/>
      <c r="E28" s="4"/>
      <c r="F28" s="4"/>
      <c r="G28" s="4"/>
      <c r="H28" s="4"/>
    </row>
    <row r="29" spans="1:8" ht="15.75" hidden="1" customHeight="1" outlineLevel="2">
      <c r="B29" s="155" t="s">
        <v>24</v>
      </c>
      <c r="C29" s="8" t="s">
        <v>18</v>
      </c>
      <c r="D29" s="3"/>
      <c r="E29" s="4"/>
      <c r="F29" s="4"/>
      <c r="G29" s="4"/>
      <c r="H29" s="4"/>
    </row>
    <row r="30" spans="1:8" ht="15.75" hidden="1" customHeight="1" outlineLevel="2">
      <c r="B30" s="155" t="s">
        <v>24</v>
      </c>
      <c r="C30" s="8" t="s">
        <v>19</v>
      </c>
      <c r="D30" s="3"/>
      <c r="E30" s="4"/>
      <c r="F30" s="4"/>
      <c r="G30" s="4"/>
      <c r="H30" s="4"/>
    </row>
    <row r="31" spans="1:8" ht="15.75" hidden="1" customHeight="1" outlineLevel="2">
      <c r="B31" s="155" t="s">
        <v>24</v>
      </c>
      <c r="C31" s="8" t="s">
        <v>20</v>
      </c>
      <c r="D31" s="3"/>
      <c r="E31" s="4"/>
      <c r="F31" s="4"/>
      <c r="G31" s="4"/>
      <c r="H31" s="4"/>
    </row>
    <row r="32" spans="1:8" ht="15.75" hidden="1" customHeight="1" outlineLevel="2">
      <c r="B32" s="155" t="s">
        <v>24</v>
      </c>
      <c r="C32" s="8" t="s">
        <v>21</v>
      </c>
      <c r="D32" s="3"/>
      <c r="E32" s="4"/>
      <c r="F32" s="4"/>
      <c r="G32" s="4"/>
      <c r="H32" s="4"/>
    </row>
    <row r="33" spans="1:8" ht="15.75" hidden="1" customHeight="1" outlineLevel="2">
      <c r="B33" s="155" t="s">
        <v>24</v>
      </c>
      <c r="C33" s="8" t="s">
        <v>22</v>
      </c>
      <c r="D33" s="3"/>
      <c r="E33" s="4"/>
      <c r="F33" s="4"/>
      <c r="G33" s="4"/>
      <c r="H33" s="4"/>
    </row>
    <row r="34" spans="1:8" ht="15.75" customHeight="1" outlineLevel="1" collapsed="1">
      <c r="A34" s="151">
        <v>1</v>
      </c>
      <c r="B34" s="150" t="s">
        <v>25</v>
      </c>
      <c r="C34" s="8">
        <f t="shared" ref="C34:D34" si="1">SUBTOTAL(9,C20:C33)</f>
        <v>0</v>
      </c>
      <c r="D34" s="3">
        <f t="shared" si="1"/>
        <v>208</v>
      </c>
      <c r="E34" s="157">
        <f>SUBTOTAL(9,E20:E33)</f>
        <v>2</v>
      </c>
      <c r="F34" s="157">
        <f>SUBTOTAL(9,F20:F33)</f>
        <v>11</v>
      </c>
      <c r="G34" s="157">
        <f>SUBTOTAL(9,G20:G33)</f>
        <v>52</v>
      </c>
      <c r="H34" s="157">
        <f>SUBTOTAL(9,H20:H33)</f>
        <v>143</v>
      </c>
    </row>
    <row r="35" spans="1:8" ht="15.75" hidden="1" customHeight="1" outlineLevel="2">
      <c r="B35" s="155" t="s">
        <v>26</v>
      </c>
      <c r="C35" s="8" t="s">
        <v>9</v>
      </c>
      <c r="D35" s="3">
        <f>150-75</f>
        <v>75</v>
      </c>
      <c r="E35" s="4"/>
      <c r="F35" s="4"/>
      <c r="G35" s="4">
        <f>38</f>
        <v>38</v>
      </c>
      <c r="H35" s="4">
        <f>37+38-45+7</f>
        <v>37</v>
      </c>
    </row>
    <row r="36" spans="1:8" ht="15.75" hidden="1" customHeight="1" outlineLevel="2">
      <c r="B36" s="155" t="s">
        <v>26</v>
      </c>
      <c r="C36" s="8" t="s">
        <v>10</v>
      </c>
      <c r="D36" s="3">
        <v>21</v>
      </c>
      <c r="E36" s="4"/>
      <c r="F36" s="4"/>
      <c r="G36" s="4">
        <v>5</v>
      </c>
      <c r="H36" s="4">
        <f>6+5+5</f>
        <v>16</v>
      </c>
    </row>
    <row r="37" spans="1:8" ht="15.75" hidden="1" customHeight="1" outlineLevel="2">
      <c r="B37" s="155" t="s">
        <v>26</v>
      </c>
      <c r="C37" s="8" t="s">
        <v>11</v>
      </c>
      <c r="D37" s="3">
        <v>100</v>
      </c>
      <c r="E37" s="4"/>
      <c r="F37" s="4"/>
      <c r="G37" s="4">
        <v>24</v>
      </c>
      <c r="H37" s="4">
        <f>27+24+25</f>
        <v>76</v>
      </c>
    </row>
    <row r="38" spans="1:8" ht="15.75" hidden="1" customHeight="1" outlineLevel="2">
      <c r="B38" s="155" t="s">
        <v>26</v>
      </c>
      <c r="C38" s="8" t="s">
        <v>12</v>
      </c>
      <c r="D38" s="3">
        <v>20</v>
      </c>
      <c r="E38" s="4"/>
      <c r="F38" s="4"/>
      <c r="G38" s="4">
        <v>5</v>
      </c>
      <c r="H38" s="4">
        <f>5+5+5</f>
        <v>15</v>
      </c>
    </row>
    <row r="39" spans="1:8" ht="15.75" hidden="1" customHeight="1" outlineLevel="2">
      <c r="B39" s="155" t="s">
        <v>26</v>
      </c>
      <c r="C39" s="8" t="s">
        <v>13</v>
      </c>
      <c r="D39" s="3">
        <v>20</v>
      </c>
      <c r="E39" s="4"/>
      <c r="F39" s="4"/>
      <c r="G39" s="4">
        <v>5</v>
      </c>
      <c r="H39" s="4">
        <f>5+5+5</f>
        <v>15</v>
      </c>
    </row>
    <row r="40" spans="1:8" ht="15.75" hidden="1" customHeight="1" outlineLevel="2">
      <c r="B40" s="155" t="s">
        <v>26</v>
      </c>
      <c r="C40" s="8" t="s">
        <v>14</v>
      </c>
      <c r="D40" s="3">
        <v>130</v>
      </c>
      <c r="E40" s="4"/>
      <c r="F40" s="4"/>
      <c r="G40" s="4">
        <v>33</v>
      </c>
      <c r="H40" s="4">
        <f>32+33+32</f>
        <v>97</v>
      </c>
    </row>
    <row r="41" spans="1:8" ht="15.75" hidden="1" customHeight="1" outlineLevel="2">
      <c r="B41" s="155" t="s">
        <v>26</v>
      </c>
      <c r="C41" s="8" t="s">
        <v>15</v>
      </c>
      <c r="D41" s="3">
        <v>90</v>
      </c>
      <c r="E41" s="4"/>
      <c r="F41" s="4"/>
      <c r="G41" s="4">
        <v>23</v>
      </c>
      <c r="H41" s="4">
        <f>22+22+23</f>
        <v>67</v>
      </c>
    </row>
    <row r="42" spans="1:8" ht="15.75" hidden="1" customHeight="1" outlineLevel="2">
      <c r="B42" s="155" t="s">
        <v>26</v>
      </c>
      <c r="C42" s="8" t="s">
        <v>16</v>
      </c>
      <c r="D42" s="3">
        <v>30</v>
      </c>
      <c r="E42" s="4"/>
      <c r="F42" s="4"/>
      <c r="G42" s="4">
        <v>8</v>
      </c>
      <c r="H42" s="4">
        <f>6+8+8</f>
        <v>22</v>
      </c>
    </row>
    <row r="43" spans="1:8" ht="15.75" hidden="1" customHeight="1" outlineLevel="2">
      <c r="B43" s="155" t="s">
        <v>26</v>
      </c>
      <c r="C43" s="8" t="s">
        <v>17</v>
      </c>
      <c r="D43" s="3">
        <f>100-75</f>
        <v>25</v>
      </c>
      <c r="E43" s="4"/>
      <c r="F43" s="4"/>
      <c r="G43" s="4">
        <v>24</v>
      </c>
      <c r="H43" s="4">
        <f>26+25-50</f>
        <v>1</v>
      </c>
    </row>
    <row r="44" spans="1:8" ht="15.75" hidden="1" customHeight="1" outlineLevel="2">
      <c r="B44" s="155" t="s">
        <v>26</v>
      </c>
      <c r="C44" s="8" t="s">
        <v>18</v>
      </c>
      <c r="D44" s="3"/>
      <c r="E44" s="4"/>
      <c r="F44" s="4"/>
      <c r="G44" s="4"/>
      <c r="H44" s="4"/>
    </row>
    <row r="45" spans="1:8" ht="15.75" hidden="1" customHeight="1" outlineLevel="2">
      <c r="B45" s="155" t="s">
        <v>26</v>
      </c>
      <c r="C45" s="8" t="s">
        <v>19</v>
      </c>
      <c r="D45" s="3"/>
      <c r="E45" s="4"/>
      <c r="F45" s="4"/>
      <c r="G45" s="4"/>
      <c r="H45" s="4"/>
    </row>
    <row r="46" spans="1:8" ht="15.75" hidden="1" customHeight="1" outlineLevel="2">
      <c r="B46" s="155" t="s">
        <v>26</v>
      </c>
      <c r="C46" s="8" t="s">
        <v>20</v>
      </c>
      <c r="D46" s="3"/>
      <c r="E46" s="4"/>
      <c r="F46" s="4"/>
      <c r="G46" s="4"/>
      <c r="H46" s="4"/>
    </row>
    <row r="47" spans="1:8" ht="15.75" hidden="1" customHeight="1" outlineLevel="2">
      <c r="B47" s="155" t="s">
        <v>26</v>
      </c>
      <c r="C47" s="8" t="s">
        <v>21</v>
      </c>
      <c r="D47" s="3"/>
      <c r="E47" s="4"/>
      <c r="F47" s="4"/>
      <c r="G47" s="4"/>
      <c r="H47" s="4"/>
    </row>
    <row r="48" spans="1:8" ht="15.75" hidden="1" customHeight="1" outlineLevel="2">
      <c r="B48" s="155" t="s">
        <v>26</v>
      </c>
      <c r="C48" s="8" t="s">
        <v>22</v>
      </c>
      <c r="D48" s="3"/>
      <c r="E48" s="4"/>
      <c r="F48" s="4"/>
      <c r="G48" s="4"/>
      <c r="H48" s="4"/>
    </row>
    <row r="49" spans="1:8" ht="15.75" customHeight="1" outlineLevel="1" collapsed="1">
      <c r="A49" s="151">
        <v>1</v>
      </c>
      <c r="B49" s="150" t="s">
        <v>27</v>
      </c>
      <c r="C49" s="8">
        <f t="shared" ref="C49:D49" si="2">SUBTOTAL(9,C35:C48)</f>
        <v>0</v>
      </c>
      <c r="D49" s="3">
        <f t="shared" si="2"/>
        <v>511</v>
      </c>
      <c r="E49" s="157">
        <f>SUBTOTAL(9,E35:E48)</f>
        <v>0</v>
      </c>
      <c r="F49" s="157">
        <f>SUBTOTAL(9,F35:F48)</f>
        <v>0</v>
      </c>
      <c r="G49" s="157">
        <f>SUBTOTAL(9,G35:G48)</f>
        <v>165</v>
      </c>
      <c r="H49" s="157">
        <f>SUBTOTAL(9,H35:H48)</f>
        <v>346</v>
      </c>
    </row>
    <row r="50" spans="1:8" ht="15.75" hidden="1" customHeight="1" outlineLevel="2">
      <c r="B50" s="155" t="s">
        <v>28</v>
      </c>
      <c r="C50" s="8" t="s">
        <v>9</v>
      </c>
      <c r="D50" s="3">
        <v>873</v>
      </c>
      <c r="E50" s="4">
        <v>440</v>
      </c>
      <c r="F50" s="4"/>
      <c r="G50" s="4">
        <f>220-20</f>
        <v>200</v>
      </c>
      <c r="H50" s="4">
        <f>218-200+215</f>
        <v>233</v>
      </c>
    </row>
    <row r="51" spans="1:8" ht="15.75" hidden="1" customHeight="1" outlineLevel="2">
      <c r="B51" s="155" t="s">
        <v>28</v>
      </c>
      <c r="C51" s="8" t="s">
        <v>10</v>
      </c>
      <c r="D51" s="3"/>
      <c r="E51" s="4"/>
      <c r="F51" s="4"/>
      <c r="G51" s="4"/>
      <c r="H51" s="4"/>
    </row>
    <row r="52" spans="1:8" ht="15.75" hidden="1" customHeight="1" outlineLevel="2">
      <c r="B52" s="155" t="s">
        <v>28</v>
      </c>
      <c r="C52" s="8" t="s">
        <v>11</v>
      </c>
      <c r="D52" s="3"/>
      <c r="E52" s="4"/>
      <c r="F52" s="4"/>
      <c r="G52" s="4"/>
      <c r="H52" s="4"/>
    </row>
    <row r="53" spans="1:8" ht="15.75" hidden="1" customHeight="1" outlineLevel="2">
      <c r="B53" s="155" t="s">
        <v>28</v>
      </c>
      <c r="C53" s="8" t="s">
        <v>12</v>
      </c>
      <c r="D53" s="3"/>
      <c r="E53" s="4"/>
      <c r="F53" s="4"/>
      <c r="G53" s="4"/>
      <c r="H53" s="4"/>
    </row>
    <row r="54" spans="1:8" ht="15.75" hidden="1" customHeight="1" outlineLevel="2">
      <c r="B54" s="155" t="s">
        <v>28</v>
      </c>
      <c r="C54" s="8" t="s">
        <v>13</v>
      </c>
      <c r="D54" s="3"/>
      <c r="E54" s="4"/>
      <c r="F54" s="4"/>
      <c r="G54" s="4"/>
      <c r="H54" s="4"/>
    </row>
    <row r="55" spans="1:8" ht="15.75" hidden="1" customHeight="1" outlineLevel="2">
      <c r="B55" s="155" t="s">
        <v>28</v>
      </c>
      <c r="C55" s="8" t="s">
        <v>14</v>
      </c>
      <c r="D55" s="3"/>
      <c r="E55" s="4"/>
      <c r="F55" s="4"/>
      <c r="G55" s="4"/>
      <c r="H55" s="4"/>
    </row>
    <row r="56" spans="1:8" ht="15.75" hidden="1" customHeight="1" outlineLevel="2">
      <c r="B56" s="155" t="s">
        <v>28</v>
      </c>
      <c r="C56" s="8" t="s">
        <v>15</v>
      </c>
      <c r="D56" s="3"/>
      <c r="E56" s="4"/>
      <c r="F56" s="4"/>
      <c r="G56" s="4"/>
      <c r="H56" s="4"/>
    </row>
    <row r="57" spans="1:8" ht="15.75" hidden="1" customHeight="1" outlineLevel="2">
      <c r="B57" s="155" t="s">
        <v>28</v>
      </c>
      <c r="C57" s="8" t="s">
        <v>16</v>
      </c>
      <c r="D57" s="3"/>
      <c r="E57" s="4"/>
      <c r="F57" s="4"/>
      <c r="G57" s="4"/>
      <c r="H57" s="4"/>
    </row>
    <row r="58" spans="1:8" ht="15.75" hidden="1" customHeight="1" outlineLevel="2">
      <c r="B58" s="155" t="s">
        <v>28</v>
      </c>
      <c r="C58" s="8" t="s">
        <v>17</v>
      </c>
      <c r="D58" s="3"/>
      <c r="E58" s="4"/>
      <c r="F58" s="4"/>
      <c r="G58" s="4"/>
      <c r="H58" s="4"/>
    </row>
    <row r="59" spans="1:8" ht="15.75" hidden="1" customHeight="1" outlineLevel="2">
      <c r="B59" s="155" t="s">
        <v>28</v>
      </c>
      <c r="C59" s="8" t="s">
        <v>18</v>
      </c>
      <c r="D59" s="3"/>
      <c r="E59" s="4"/>
      <c r="F59" s="4"/>
      <c r="G59" s="4"/>
      <c r="H59" s="4"/>
    </row>
    <row r="60" spans="1:8" ht="15.75" hidden="1" customHeight="1" outlineLevel="2">
      <c r="B60" s="155" t="s">
        <v>28</v>
      </c>
      <c r="C60" s="8" t="s">
        <v>19</v>
      </c>
      <c r="D60" s="3"/>
      <c r="E60" s="4"/>
      <c r="F60" s="4"/>
      <c r="G60" s="4"/>
      <c r="H60" s="4"/>
    </row>
    <row r="61" spans="1:8" ht="15.75" hidden="1" customHeight="1" outlineLevel="2">
      <c r="B61" s="155" t="s">
        <v>28</v>
      </c>
      <c r="C61" s="8" t="s">
        <v>20</v>
      </c>
      <c r="D61" s="3"/>
      <c r="E61" s="4"/>
      <c r="F61" s="4"/>
      <c r="G61" s="4"/>
      <c r="H61" s="4"/>
    </row>
    <row r="62" spans="1:8" ht="15.75" hidden="1" customHeight="1" outlineLevel="2">
      <c r="B62" s="155" t="s">
        <v>28</v>
      </c>
      <c r="C62" s="8" t="s">
        <v>21</v>
      </c>
      <c r="D62" s="3"/>
      <c r="E62" s="4"/>
      <c r="F62" s="4"/>
      <c r="G62" s="4"/>
      <c r="H62" s="4"/>
    </row>
    <row r="63" spans="1:8" ht="15.75" hidden="1" customHeight="1" outlineLevel="2">
      <c r="B63" s="155" t="s">
        <v>28</v>
      </c>
      <c r="C63" s="8" t="s">
        <v>22</v>
      </c>
      <c r="D63" s="3"/>
      <c r="E63" s="4"/>
      <c r="F63" s="4"/>
      <c r="G63" s="4"/>
      <c r="H63" s="4"/>
    </row>
    <row r="64" spans="1:8" ht="15.75" customHeight="1" outlineLevel="1" collapsed="1">
      <c r="A64" s="151">
        <v>1</v>
      </c>
      <c r="B64" s="150" t="s">
        <v>29</v>
      </c>
      <c r="C64" s="8">
        <f t="shared" ref="C64:D64" si="3">SUBTOTAL(9,C50:C63)</f>
        <v>0</v>
      </c>
      <c r="D64" s="3">
        <f t="shared" si="3"/>
        <v>873</v>
      </c>
      <c r="E64" s="157">
        <f>SUBTOTAL(9,E50:E63)</f>
        <v>440</v>
      </c>
      <c r="F64" s="157">
        <f>SUBTOTAL(9,F50:F63)</f>
        <v>0</v>
      </c>
      <c r="G64" s="157">
        <f>SUBTOTAL(9,G50:G63)</f>
        <v>200</v>
      </c>
      <c r="H64" s="157">
        <f>SUBTOTAL(9,H50:H63)</f>
        <v>233</v>
      </c>
    </row>
    <row r="65" spans="1:8" ht="15.75" hidden="1" customHeight="1" outlineLevel="2">
      <c r="B65" s="155" t="s">
        <v>30</v>
      </c>
      <c r="C65" s="8" t="s">
        <v>9</v>
      </c>
      <c r="D65" s="3">
        <v>379</v>
      </c>
      <c r="E65" s="4"/>
      <c r="F65" s="4"/>
      <c r="G65" s="4">
        <v>107</v>
      </c>
      <c r="H65" s="4">
        <f>108+107+57</f>
        <v>272</v>
      </c>
    </row>
    <row r="66" spans="1:8" ht="15.75" hidden="1" customHeight="1" outlineLevel="2">
      <c r="B66" s="155" t="s">
        <v>30</v>
      </c>
      <c r="C66" s="8" t="s">
        <v>10</v>
      </c>
      <c r="D66" s="3"/>
      <c r="E66" s="4"/>
      <c r="F66" s="4"/>
      <c r="G66" s="4"/>
      <c r="H66" s="4"/>
    </row>
    <row r="67" spans="1:8" ht="15.75" hidden="1" customHeight="1" outlineLevel="2">
      <c r="B67" s="155" t="s">
        <v>30</v>
      </c>
      <c r="C67" s="8" t="s">
        <v>11</v>
      </c>
      <c r="D67" s="3"/>
      <c r="E67" s="4"/>
      <c r="F67" s="4"/>
      <c r="G67" s="4"/>
      <c r="H67" s="4"/>
    </row>
    <row r="68" spans="1:8" ht="15.75" hidden="1" customHeight="1" outlineLevel="2">
      <c r="B68" s="155" t="s">
        <v>30</v>
      </c>
      <c r="C68" s="8" t="s">
        <v>12</v>
      </c>
      <c r="D68" s="3"/>
      <c r="E68" s="4"/>
      <c r="F68" s="4"/>
      <c r="G68" s="4"/>
      <c r="H68" s="4"/>
    </row>
    <row r="69" spans="1:8" ht="15.75" hidden="1" customHeight="1" outlineLevel="2">
      <c r="B69" s="155" t="s">
        <v>30</v>
      </c>
      <c r="C69" s="8" t="s">
        <v>13</v>
      </c>
      <c r="D69" s="3"/>
      <c r="E69" s="4"/>
      <c r="F69" s="4"/>
      <c r="G69" s="4"/>
      <c r="H69" s="4"/>
    </row>
    <row r="70" spans="1:8" ht="15.75" hidden="1" customHeight="1" outlineLevel="2">
      <c r="B70" s="155" t="s">
        <v>30</v>
      </c>
      <c r="C70" s="8" t="s">
        <v>14</v>
      </c>
      <c r="D70" s="3"/>
      <c r="E70" s="4"/>
      <c r="F70" s="4"/>
      <c r="G70" s="4"/>
      <c r="H70" s="4"/>
    </row>
    <row r="71" spans="1:8" ht="15.75" hidden="1" customHeight="1" outlineLevel="2">
      <c r="B71" s="155" t="s">
        <v>30</v>
      </c>
      <c r="C71" s="8" t="s">
        <v>15</v>
      </c>
      <c r="D71" s="3"/>
      <c r="E71" s="4"/>
      <c r="F71" s="4"/>
      <c r="G71" s="4"/>
      <c r="H71" s="4"/>
    </row>
    <row r="72" spans="1:8" ht="15.75" hidden="1" customHeight="1" outlineLevel="2">
      <c r="B72" s="155" t="s">
        <v>30</v>
      </c>
      <c r="C72" s="8" t="s">
        <v>16</v>
      </c>
      <c r="D72" s="3"/>
      <c r="E72" s="4"/>
      <c r="F72" s="4"/>
      <c r="G72" s="4"/>
      <c r="H72" s="4"/>
    </row>
    <row r="73" spans="1:8" ht="15.75" hidden="1" customHeight="1" outlineLevel="2">
      <c r="B73" s="155" t="s">
        <v>30</v>
      </c>
      <c r="C73" s="8" t="s">
        <v>17</v>
      </c>
      <c r="D73" s="3"/>
      <c r="E73" s="4"/>
      <c r="F73" s="4"/>
      <c r="G73" s="4"/>
      <c r="H73" s="4"/>
    </row>
    <row r="74" spans="1:8" ht="15.75" hidden="1" customHeight="1" outlineLevel="2">
      <c r="B74" s="155" t="s">
        <v>30</v>
      </c>
      <c r="C74" s="8" t="s">
        <v>18</v>
      </c>
      <c r="D74" s="3"/>
      <c r="E74" s="4"/>
      <c r="F74" s="4"/>
      <c r="G74" s="4"/>
      <c r="H74" s="4"/>
    </row>
    <row r="75" spans="1:8" ht="15.75" hidden="1" customHeight="1" outlineLevel="2">
      <c r="B75" s="155" t="s">
        <v>30</v>
      </c>
      <c r="C75" s="8" t="s">
        <v>19</v>
      </c>
      <c r="D75" s="3"/>
      <c r="E75" s="4"/>
      <c r="F75" s="4"/>
      <c r="G75" s="4"/>
      <c r="H75" s="4"/>
    </row>
    <row r="76" spans="1:8" ht="15.75" hidden="1" customHeight="1" outlineLevel="2">
      <c r="B76" s="155" t="s">
        <v>30</v>
      </c>
      <c r="C76" s="8" t="s">
        <v>20</v>
      </c>
      <c r="D76" s="3"/>
      <c r="E76" s="4"/>
      <c r="F76" s="4"/>
      <c r="G76" s="4"/>
      <c r="H76" s="4"/>
    </row>
    <row r="77" spans="1:8" ht="15.75" hidden="1" customHeight="1" outlineLevel="2">
      <c r="B77" s="155" t="s">
        <v>30</v>
      </c>
      <c r="C77" s="8" t="s">
        <v>21</v>
      </c>
      <c r="D77" s="3"/>
      <c r="E77" s="4"/>
      <c r="F77" s="4"/>
      <c r="G77" s="4"/>
      <c r="H77" s="4"/>
    </row>
    <row r="78" spans="1:8" ht="15.75" hidden="1" customHeight="1" outlineLevel="2">
      <c r="B78" s="155" t="s">
        <v>30</v>
      </c>
      <c r="C78" s="8" t="s">
        <v>22</v>
      </c>
      <c r="D78" s="3"/>
      <c r="E78" s="4"/>
      <c r="F78" s="4"/>
      <c r="G78" s="4"/>
      <c r="H78" s="4"/>
    </row>
    <row r="79" spans="1:8" ht="15.75" customHeight="1" outlineLevel="1" collapsed="1">
      <c r="A79" s="151">
        <v>1</v>
      </c>
      <c r="B79" s="150" t="s">
        <v>31</v>
      </c>
      <c r="C79" s="8">
        <f t="shared" ref="C79:D79" si="4">SUBTOTAL(9,C65:C78)</f>
        <v>0</v>
      </c>
      <c r="D79" s="3">
        <f t="shared" si="4"/>
        <v>379</v>
      </c>
      <c r="E79" s="157">
        <f>SUBTOTAL(9,E65:E78)</f>
        <v>0</v>
      </c>
      <c r="F79" s="157">
        <f>SUBTOTAL(9,F65:F78)</f>
        <v>0</v>
      </c>
      <c r="G79" s="157">
        <f>SUBTOTAL(9,G65:G78)</f>
        <v>107</v>
      </c>
      <c r="H79" s="157">
        <f>SUBTOTAL(9,H65:H78)</f>
        <v>272</v>
      </c>
    </row>
    <row r="80" spans="1:8" ht="15.75" hidden="1" customHeight="1" outlineLevel="2">
      <c r="B80" s="155" t="s">
        <v>32</v>
      </c>
      <c r="C80" s="8" t="s">
        <v>9</v>
      </c>
      <c r="D80" s="3">
        <f>3868-5</f>
        <v>3863</v>
      </c>
      <c r="E80" s="4">
        <v>198</v>
      </c>
      <c r="F80" s="4">
        <v>268</v>
      </c>
      <c r="G80" s="4">
        <v>967</v>
      </c>
      <c r="H80" s="4">
        <f>967+769+694</f>
        <v>2430</v>
      </c>
    </row>
    <row r="81" spans="1:8" ht="15.75" hidden="1" customHeight="1" outlineLevel="2">
      <c r="B81" s="155" t="s">
        <v>32</v>
      </c>
      <c r="C81" s="8" t="s">
        <v>10</v>
      </c>
      <c r="D81" s="3"/>
      <c r="E81" s="4"/>
      <c r="F81" s="4"/>
      <c r="G81" s="4"/>
      <c r="H81" s="4"/>
    </row>
    <row r="82" spans="1:8" ht="15.75" hidden="1" customHeight="1" outlineLevel="2">
      <c r="B82" s="155" t="s">
        <v>32</v>
      </c>
      <c r="C82" s="8" t="s">
        <v>11</v>
      </c>
      <c r="D82" s="3"/>
      <c r="E82" s="4"/>
      <c r="F82" s="4"/>
      <c r="G82" s="4"/>
      <c r="H82" s="4"/>
    </row>
    <row r="83" spans="1:8" ht="15.75" hidden="1" customHeight="1" outlineLevel="2">
      <c r="B83" s="155" t="s">
        <v>32</v>
      </c>
      <c r="C83" s="8" t="s">
        <v>12</v>
      </c>
      <c r="D83" s="3"/>
      <c r="E83" s="4"/>
      <c r="F83" s="4"/>
      <c r="G83" s="4"/>
      <c r="H83" s="4"/>
    </row>
    <row r="84" spans="1:8" ht="15.75" hidden="1" customHeight="1" outlineLevel="2">
      <c r="B84" s="155" t="s">
        <v>32</v>
      </c>
      <c r="C84" s="8" t="s">
        <v>13</v>
      </c>
      <c r="D84" s="3"/>
      <c r="E84" s="4"/>
      <c r="F84" s="4"/>
      <c r="G84" s="4"/>
      <c r="H84" s="4"/>
    </row>
    <row r="85" spans="1:8" ht="15.75" hidden="1" customHeight="1" outlineLevel="2">
      <c r="B85" s="155" t="s">
        <v>32</v>
      </c>
      <c r="C85" s="8" t="s">
        <v>14</v>
      </c>
      <c r="D85" s="3"/>
      <c r="E85" s="4"/>
      <c r="F85" s="4"/>
      <c r="G85" s="4"/>
      <c r="H85" s="4"/>
    </row>
    <row r="86" spans="1:8" ht="15.75" hidden="1" customHeight="1" outlineLevel="2">
      <c r="B86" s="155" t="s">
        <v>32</v>
      </c>
      <c r="C86" s="8" t="s">
        <v>15</v>
      </c>
      <c r="D86" s="3"/>
      <c r="E86" s="4"/>
      <c r="F86" s="4"/>
      <c r="G86" s="4"/>
      <c r="H86" s="4"/>
    </row>
    <row r="87" spans="1:8" ht="15.75" hidden="1" customHeight="1" outlineLevel="2">
      <c r="B87" s="155" t="s">
        <v>32</v>
      </c>
      <c r="C87" s="8" t="s">
        <v>16</v>
      </c>
      <c r="D87" s="3"/>
      <c r="E87" s="4"/>
      <c r="F87" s="4"/>
      <c r="G87" s="4"/>
      <c r="H87" s="4"/>
    </row>
    <row r="88" spans="1:8" ht="15.75" hidden="1" customHeight="1" outlineLevel="2">
      <c r="B88" s="155" t="s">
        <v>32</v>
      </c>
      <c r="C88" s="8" t="s">
        <v>17</v>
      </c>
      <c r="D88" s="3">
        <v>985</v>
      </c>
      <c r="E88" s="4">
        <v>153</v>
      </c>
      <c r="F88" s="4">
        <v>75</v>
      </c>
      <c r="G88" s="4">
        <v>246</v>
      </c>
      <c r="H88" s="4">
        <f>247+93+171</f>
        <v>511</v>
      </c>
    </row>
    <row r="89" spans="1:8" ht="15.75" hidden="1" customHeight="1" outlineLevel="2">
      <c r="B89" s="155" t="s">
        <v>32</v>
      </c>
      <c r="C89" s="8" t="s">
        <v>18</v>
      </c>
      <c r="D89" s="3"/>
      <c r="E89" s="4"/>
      <c r="F89" s="4"/>
      <c r="G89" s="4"/>
      <c r="H89" s="4"/>
    </row>
    <row r="90" spans="1:8" ht="15.75" hidden="1" customHeight="1" outlineLevel="2">
      <c r="B90" s="155" t="s">
        <v>32</v>
      </c>
      <c r="C90" s="8" t="s">
        <v>19</v>
      </c>
      <c r="D90" s="3"/>
      <c r="E90" s="4"/>
      <c r="F90" s="4"/>
      <c r="G90" s="4"/>
      <c r="H90" s="4"/>
    </row>
    <row r="91" spans="1:8" ht="15.75" hidden="1" customHeight="1" outlineLevel="2">
      <c r="B91" s="155" t="s">
        <v>32</v>
      </c>
      <c r="C91" s="8" t="s">
        <v>20</v>
      </c>
      <c r="D91" s="3"/>
      <c r="E91" s="4"/>
      <c r="F91" s="4"/>
      <c r="G91" s="4"/>
      <c r="H91" s="4"/>
    </row>
    <row r="92" spans="1:8" ht="15.75" hidden="1" customHeight="1" outlineLevel="2">
      <c r="B92" s="155" t="s">
        <v>32</v>
      </c>
      <c r="C92" s="8" t="s">
        <v>21</v>
      </c>
      <c r="D92" s="3"/>
      <c r="E92" s="4"/>
      <c r="F92" s="4"/>
      <c r="G92" s="4"/>
      <c r="H92" s="4"/>
    </row>
    <row r="93" spans="1:8" ht="15.75" hidden="1" customHeight="1" outlineLevel="2">
      <c r="B93" s="155" t="s">
        <v>32</v>
      </c>
      <c r="C93" s="8" t="s">
        <v>22</v>
      </c>
      <c r="D93" s="3"/>
      <c r="E93" s="4"/>
      <c r="F93" s="4"/>
      <c r="G93" s="4"/>
      <c r="H93" s="4"/>
    </row>
    <row r="94" spans="1:8" ht="15.75" customHeight="1" outlineLevel="1" collapsed="1">
      <c r="A94" s="151">
        <v>1</v>
      </c>
      <c r="B94" s="150" t="s">
        <v>33</v>
      </c>
      <c r="C94" s="8">
        <f t="shared" ref="C94:D94" si="5">SUBTOTAL(9,C80:C93)</f>
        <v>0</v>
      </c>
      <c r="D94" s="3">
        <f t="shared" si="5"/>
        <v>4848</v>
      </c>
      <c r="E94" s="157">
        <f>SUBTOTAL(9,E80:E93)</f>
        <v>351</v>
      </c>
      <c r="F94" s="157">
        <f>SUBTOTAL(9,F80:F93)</f>
        <v>343</v>
      </c>
      <c r="G94" s="157">
        <f>SUBTOTAL(9,G80:G93)</f>
        <v>1213</v>
      </c>
      <c r="H94" s="157">
        <f>SUBTOTAL(9,H80:H93)</f>
        <v>2941</v>
      </c>
    </row>
    <row r="95" spans="1:8" ht="15.75" hidden="1" customHeight="1" outlineLevel="2">
      <c r="B95" s="155" t="s">
        <v>34</v>
      </c>
      <c r="C95" s="8" t="s">
        <v>9</v>
      </c>
      <c r="D95" s="3"/>
      <c r="E95" s="4"/>
      <c r="F95" s="4"/>
      <c r="G95" s="4"/>
      <c r="H95" s="4"/>
    </row>
    <row r="96" spans="1:8" ht="15.75" hidden="1" customHeight="1" outlineLevel="2">
      <c r="B96" s="155" t="s">
        <v>34</v>
      </c>
      <c r="C96" s="8" t="s">
        <v>10</v>
      </c>
      <c r="D96" s="3"/>
      <c r="E96" s="4"/>
      <c r="F96" s="4"/>
      <c r="G96" s="4"/>
      <c r="H96" s="4"/>
    </row>
    <row r="97" spans="1:8" ht="15.75" hidden="1" customHeight="1" outlineLevel="2">
      <c r="B97" s="155" t="s">
        <v>34</v>
      </c>
      <c r="C97" s="8" t="s">
        <v>11</v>
      </c>
      <c r="D97" s="3"/>
      <c r="E97" s="4"/>
      <c r="F97" s="4"/>
      <c r="G97" s="4"/>
      <c r="H97" s="4"/>
    </row>
    <row r="98" spans="1:8" ht="15.75" hidden="1" customHeight="1" outlineLevel="2">
      <c r="B98" s="155" t="s">
        <v>34</v>
      </c>
      <c r="C98" s="8" t="s">
        <v>12</v>
      </c>
      <c r="D98" s="3"/>
      <c r="E98" s="4"/>
      <c r="F98" s="4"/>
      <c r="G98" s="4"/>
      <c r="H98" s="4"/>
    </row>
    <row r="99" spans="1:8" ht="15.75" hidden="1" customHeight="1" outlineLevel="2">
      <c r="B99" s="155" t="s">
        <v>34</v>
      </c>
      <c r="C99" s="8" t="s">
        <v>13</v>
      </c>
      <c r="D99" s="3"/>
      <c r="E99" s="4"/>
      <c r="F99" s="4"/>
      <c r="G99" s="4"/>
      <c r="H99" s="4"/>
    </row>
    <row r="100" spans="1:8" ht="15.75" hidden="1" customHeight="1" outlineLevel="2">
      <c r="B100" s="155" t="s">
        <v>34</v>
      </c>
      <c r="C100" s="8" t="s">
        <v>14</v>
      </c>
      <c r="D100" s="3"/>
      <c r="E100" s="4"/>
      <c r="F100" s="4"/>
      <c r="G100" s="4"/>
      <c r="H100" s="4"/>
    </row>
    <row r="101" spans="1:8" ht="15.75" hidden="1" customHeight="1" outlineLevel="2">
      <c r="B101" s="155" t="s">
        <v>34</v>
      </c>
      <c r="C101" s="8" t="s">
        <v>15</v>
      </c>
      <c r="D101" s="3"/>
      <c r="E101" s="4"/>
      <c r="F101" s="4"/>
      <c r="G101" s="4"/>
      <c r="H101" s="4"/>
    </row>
    <row r="102" spans="1:8" ht="15.75" hidden="1" customHeight="1" outlineLevel="2">
      <c r="B102" s="155" t="s">
        <v>34</v>
      </c>
      <c r="C102" s="8" t="s">
        <v>16</v>
      </c>
      <c r="D102" s="3"/>
      <c r="E102" s="4"/>
      <c r="F102" s="4"/>
      <c r="G102" s="4"/>
      <c r="H102" s="4"/>
    </row>
    <row r="103" spans="1:8" ht="15.75" hidden="1" customHeight="1" outlineLevel="2">
      <c r="B103" s="155" t="s">
        <v>34</v>
      </c>
      <c r="C103" s="8" t="s">
        <v>17</v>
      </c>
      <c r="D103" s="3">
        <f>30+44</f>
        <v>74</v>
      </c>
      <c r="E103" s="4">
        <v>30</v>
      </c>
      <c r="F103" s="4">
        <v>44</v>
      </c>
      <c r="G103" s="4"/>
      <c r="H103" s="4"/>
    </row>
    <row r="104" spans="1:8" ht="15.75" hidden="1" customHeight="1" outlineLevel="2">
      <c r="B104" s="155" t="s">
        <v>34</v>
      </c>
      <c r="C104" s="8" t="s">
        <v>18</v>
      </c>
      <c r="D104" s="3">
        <f>757-30-44</f>
        <v>683</v>
      </c>
      <c r="E104" s="4"/>
      <c r="F104" s="4"/>
      <c r="G104" s="4">
        <v>189</v>
      </c>
      <c r="H104" s="4">
        <f>190+159+145</f>
        <v>494</v>
      </c>
    </row>
    <row r="105" spans="1:8" ht="15.75" hidden="1" customHeight="1" outlineLevel="2">
      <c r="B105" s="155" t="s">
        <v>34</v>
      </c>
      <c r="C105" s="8" t="s">
        <v>19</v>
      </c>
      <c r="D105" s="3"/>
      <c r="E105" s="4"/>
      <c r="F105" s="4"/>
      <c r="G105" s="4"/>
      <c r="H105" s="4"/>
    </row>
    <row r="106" spans="1:8" ht="15.75" hidden="1" customHeight="1" outlineLevel="2">
      <c r="B106" s="155" t="s">
        <v>34</v>
      </c>
      <c r="C106" s="8" t="s">
        <v>20</v>
      </c>
      <c r="D106" s="3"/>
      <c r="E106" s="4"/>
      <c r="F106" s="4"/>
      <c r="G106" s="4"/>
      <c r="H106" s="4"/>
    </row>
    <row r="107" spans="1:8" ht="15.75" hidden="1" customHeight="1" outlineLevel="2">
      <c r="B107" s="155" t="s">
        <v>34</v>
      </c>
      <c r="C107" s="8" t="s">
        <v>21</v>
      </c>
      <c r="D107" s="3"/>
      <c r="E107" s="4"/>
      <c r="F107" s="4"/>
      <c r="G107" s="4"/>
      <c r="H107" s="4"/>
    </row>
    <row r="108" spans="1:8" ht="15.75" hidden="1" customHeight="1" outlineLevel="2">
      <c r="B108" s="155" t="s">
        <v>34</v>
      </c>
      <c r="C108" s="8" t="s">
        <v>22</v>
      </c>
      <c r="D108" s="3"/>
      <c r="E108" s="4"/>
      <c r="F108" s="4"/>
      <c r="G108" s="4"/>
      <c r="H108" s="4"/>
    </row>
    <row r="109" spans="1:8" ht="15.75" customHeight="1" outlineLevel="1" collapsed="1">
      <c r="A109" s="151">
        <v>1</v>
      </c>
      <c r="B109" s="150" t="s">
        <v>35</v>
      </c>
      <c r="C109" s="8">
        <f t="shared" ref="C109:D109" si="6">SUBTOTAL(9,C95:C108)</f>
        <v>0</v>
      </c>
      <c r="D109" s="3">
        <f t="shared" si="6"/>
        <v>757</v>
      </c>
      <c r="E109" s="157">
        <f>SUBTOTAL(9,E95:E108)</f>
        <v>30</v>
      </c>
      <c r="F109" s="157">
        <f>SUBTOTAL(9,F95:F108)</f>
        <v>44</v>
      </c>
      <c r="G109" s="157">
        <f>SUBTOTAL(9,G95:G108)</f>
        <v>189</v>
      </c>
      <c r="H109" s="157">
        <f>SUBTOTAL(9,H95:H108)</f>
        <v>494</v>
      </c>
    </row>
    <row r="110" spans="1:8" ht="15.75" hidden="1" customHeight="1" outlineLevel="2">
      <c r="B110" s="155" t="s">
        <v>36</v>
      </c>
      <c r="C110" s="8" t="s">
        <v>9</v>
      </c>
      <c r="D110" s="3">
        <v>27</v>
      </c>
      <c r="E110" s="4"/>
      <c r="F110" s="4"/>
      <c r="G110" s="4">
        <f>169-160</f>
        <v>9</v>
      </c>
      <c r="H110" s="4">
        <f>170+169-330+9</f>
        <v>18</v>
      </c>
    </row>
    <row r="111" spans="1:8" ht="15.75" hidden="1" customHeight="1" outlineLevel="2">
      <c r="B111" s="155" t="s">
        <v>36</v>
      </c>
      <c r="C111" s="8" t="s">
        <v>10</v>
      </c>
      <c r="D111" s="3"/>
      <c r="E111" s="4"/>
      <c r="F111" s="4"/>
      <c r="G111" s="4"/>
      <c r="H111" s="4"/>
    </row>
    <row r="112" spans="1:8" ht="15.75" hidden="1" customHeight="1" outlineLevel="2">
      <c r="B112" s="155" t="s">
        <v>36</v>
      </c>
      <c r="C112" s="8" t="s">
        <v>11</v>
      </c>
      <c r="D112" s="3"/>
      <c r="E112" s="4"/>
      <c r="F112" s="4"/>
      <c r="G112" s="4"/>
      <c r="H112" s="4"/>
    </row>
    <row r="113" spans="1:8" ht="15.75" hidden="1" customHeight="1" outlineLevel="2">
      <c r="B113" s="155" t="s">
        <v>36</v>
      </c>
      <c r="C113" s="8" t="s">
        <v>12</v>
      </c>
      <c r="D113" s="3"/>
      <c r="E113" s="4"/>
      <c r="F113" s="4"/>
      <c r="G113" s="4"/>
      <c r="H113" s="4"/>
    </row>
    <row r="114" spans="1:8" ht="15.75" hidden="1" customHeight="1" outlineLevel="2">
      <c r="B114" s="155" t="s">
        <v>36</v>
      </c>
      <c r="C114" s="8" t="s">
        <v>13</v>
      </c>
      <c r="D114" s="3"/>
      <c r="E114" s="4"/>
      <c r="F114" s="4"/>
      <c r="G114" s="4"/>
      <c r="H114" s="4"/>
    </row>
    <row r="115" spans="1:8" ht="15.75" hidden="1" customHeight="1" outlineLevel="2">
      <c r="B115" s="155" t="s">
        <v>36</v>
      </c>
      <c r="C115" s="8" t="s">
        <v>14</v>
      </c>
      <c r="D115" s="3"/>
      <c r="E115" s="4"/>
      <c r="F115" s="4"/>
      <c r="G115" s="4"/>
      <c r="H115" s="4"/>
    </row>
    <row r="116" spans="1:8" ht="15.75" hidden="1" customHeight="1" outlineLevel="2">
      <c r="B116" s="155" t="s">
        <v>36</v>
      </c>
      <c r="C116" s="8" t="s">
        <v>15</v>
      </c>
      <c r="D116" s="3"/>
      <c r="E116" s="4"/>
      <c r="F116" s="4"/>
      <c r="G116" s="4"/>
      <c r="H116" s="4"/>
    </row>
    <row r="117" spans="1:8" ht="15.75" hidden="1" customHeight="1" outlineLevel="2">
      <c r="B117" s="155" t="s">
        <v>36</v>
      </c>
      <c r="C117" s="8" t="s">
        <v>16</v>
      </c>
      <c r="D117" s="3"/>
      <c r="E117" s="4"/>
      <c r="F117" s="4"/>
      <c r="G117" s="4"/>
      <c r="H117" s="4"/>
    </row>
    <row r="118" spans="1:8" ht="15.75" hidden="1" customHeight="1" outlineLevel="2">
      <c r="B118" s="155" t="s">
        <v>36</v>
      </c>
      <c r="C118" s="8" t="s">
        <v>17</v>
      </c>
      <c r="D118" s="3"/>
      <c r="E118" s="4"/>
      <c r="F118" s="4"/>
      <c r="G118" s="4"/>
      <c r="H118" s="4"/>
    </row>
    <row r="119" spans="1:8" ht="15.75" hidden="1" customHeight="1" outlineLevel="2">
      <c r="B119" s="155" t="s">
        <v>36</v>
      </c>
      <c r="C119" s="8" t="s">
        <v>18</v>
      </c>
      <c r="D119" s="3"/>
      <c r="E119" s="4"/>
      <c r="F119" s="4"/>
      <c r="G119" s="4"/>
      <c r="H119" s="4"/>
    </row>
    <row r="120" spans="1:8" ht="15.75" hidden="1" customHeight="1" outlineLevel="2">
      <c r="B120" s="155" t="s">
        <v>36</v>
      </c>
      <c r="C120" s="8" t="s">
        <v>19</v>
      </c>
      <c r="D120" s="3"/>
      <c r="E120" s="4"/>
      <c r="F120" s="4"/>
      <c r="G120" s="4"/>
      <c r="H120" s="4"/>
    </row>
    <row r="121" spans="1:8" ht="15.75" hidden="1" customHeight="1" outlineLevel="2">
      <c r="B121" s="155" t="s">
        <v>36</v>
      </c>
      <c r="C121" s="8" t="s">
        <v>20</v>
      </c>
      <c r="D121" s="3"/>
      <c r="E121" s="4"/>
      <c r="F121" s="4"/>
      <c r="G121" s="4"/>
      <c r="H121" s="4"/>
    </row>
    <row r="122" spans="1:8" ht="15.75" hidden="1" customHeight="1" outlineLevel="2">
      <c r="B122" s="155" t="s">
        <v>36</v>
      </c>
      <c r="C122" s="8" t="s">
        <v>21</v>
      </c>
      <c r="D122" s="3"/>
      <c r="E122" s="4"/>
      <c r="F122" s="4"/>
      <c r="G122" s="4"/>
      <c r="H122" s="4"/>
    </row>
    <row r="123" spans="1:8" ht="15.75" hidden="1" customHeight="1" outlineLevel="2">
      <c r="B123" s="155" t="s">
        <v>36</v>
      </c>
      <c r="C123" s="8" t="s">
        <v>22</v>
      </c>
      <c r="D123" s="3"/>
      <c r="E123" s="4"/>
      <c r="F123" s="4"/>
      <c r="G123" s="4"/>
      <c r="H123" s="4"/>
    </row>
    <row r="124" spans="1:8" ht="15.75" customHeight="1" outlineLevel="1" collapsed="1">
      <c r="A124" s="151">
        <v>1</v>
      </c>
      <c r="B124" s="150" t="s">
        <v>37</v>
      </c>
      <c r="C124" s="8">
        <f t="shared" ref="C124:D124" si="7">SUBTOTAL(9,C110:C123)</f>
        <v>0</v>
      </c>
      <c r="D124" s="3">
        <f t="shared" si="7"/>
        <v>27</v>
      </c>
      <c r="E124" s="157">
        <f>SUBTOTAL(9,E110:E123)</f>
        <v>0</v>
      </c>
      <c r="F124" s="157">
        <f>SUBTOTAL(9,F110:F123)</f>
        <v>0</v>
      </c>
      <c r="G124" s="157">
        <f>SUBTOTAL(9,G110:G123)</f>
        <v>9</v>
      </c>
      <c r="H124" s="157">
        <f>SUBTOTAL(9,H110:H123)</f>
        <v>18</v>
      </c>
    </row>
    <row r="125" spans="1:8" ht="15.75" hidden="1" customHeight="1" outlineLevel="2">
      <c r="B125" s="155" t="s">
        <v>38</v>
      </c>
      <c r="C125" s="8" t="s">
        <v>9</v>
      </c>
      <c r="D125" s="3">
        <f>2314-1-3-17</f>
        <v>2293</v>
      </c>
      <c r="E125" s="4">
        <v>273</v>
      </c>
      <c r="F125" s="4">
        <v>323</v>
      </c>
      <c r="G125" s="4">
        <v>578</v>
      </c>
      <c r="H125" s="4">
        <f>580+303-2+255-17</f>
        <v>1119</v>
      </c>
    </row>
    <row r="126" spans="1:8" ht="15.75" hidden="1" customHeight="1" outlineLevel="2">
      <c r="B126" s="155" t="s">
        <v>38</v>
      </c>
      <c r="C126" s="8" t="s">
        <v>10</v>
      </c>
      <c r="D126" s="3"/>
      <c r="E126" s="4"/>
      <c r="F126" s="4"/>
      <c r="G126" s="4"/>
      <c r="H126" s="4"/>
    </row>
    <row r="127" spans="1:8" ht="15.75" hidden="1" customHeight="1" outlineLevel="2">
      <c r="B127" s="155" t="s">
        <v>38</v>
      </c>
      <c r="C127" s="8" t="s">
        <v>11</v>
      </c>
      <c r="D127" s="3"/>
      <c r="E127" s="4"/>
      <c r="F127" s="4"/>
      <c r="G127" s="4"/>
      <c r="H127" s="4"/>
    </row>
    <row r="128" spans="1:8" ht="15.75" hidden="1" customHeight="1" outlineLevel="2">
      <c r="B128" s="155" t="s">
        <v>38</v>
      </c>
      <c r="C128" s="8" t="s">
        <v>12</v>
      </c>
      <c r="D128" s="3"/>
      <c r="E128" s="4"/>
      <c r="F128" s="4"/>
      <c r="G128" s="4"/>
      <c r="H128" s="4"/>
    </row>
    <row r="129" spans="1:8" ht="15.75" hidden="1" customHeight="1" outlineLevel="2">
      <c r="B129" s="155" t="s">
        <v>38</v>
      </c>
      <c r="C129" s="8" t="s">
        <v>13</v>
      </c>
      <c r="D129" s="3"/>
      <c r="E129" s="4"/>
      <c r="F129" s="4"/>
      <c r="G129" s="4"/>
      <c r="H129" s="4"/>
    </row>
    <row r="130" spans="1:8" ht="15.75" hidden="1" customHeight="1" outlineLevel="2">
      <c r="B130" s="155" t="s">
        <v>38</v>
      </c>
      <c r="C130" s="8" t="s">
        <v>14</v>
      </c>
      <c r="D130" s="3">
        <f>294-70-21</f>
        <v>203</v>
      </c>
      <c r="E130" s="4"/>
      <c r="F130" s="4"/>
      <c r="G130" s="4">
        <v>74</v>
      </c>
      <c r="H130" s="4">
        <f>72+74+4-21</f>
        <v>129</v>
      </c>
    </row>
    <row r="131" spans="1:8" ht="15.75" hidden="1" customHeight="1" outlineLevel="2">
      <c r="B131" s="155" t="s">
        <v>38</v>
      </c>
      <c r="C131" s="8" t="s">
        <v>15</v>
      </c>
      <c r="D131" s="3"/>
      <c r="E131" s="4"/>
      <c r="F131" s="4"/>
      <c r="G131" s="4"/>
      <c r="H131" s="4"/>
    </row>
    <row r="132" spans="1:8" ht="15.75" hidden="1" customHeight="1" outlineLevel="2">
      <c r="B132" s="155" t="s">
        <v>38</v>
      </c>
      <c r="C132" s="8" t="s">
        <v>16</v>
      </c>
      <c r="D132" s="3"/>
      <c r="E132" s="4"/>
      <c r="F132" s="4"/>
      <c r="G132" s="4"/>
      <c r="H132" s="4"/>
    </row>
    <row r="133" spans="1:8" ht="15.75" hidden="1" customHeight="1" outlineLevel="2">
      <c r="B133" s="155" t="s">
        <v>38</v>
      </c>
      <c r="C133" s="8" t="s">
        <v>17</v>
      </c>
      <c r="D133" s="3"/>
      <c r="E133" s="4"/>
      <c r="F133" s="4"/>
      <c r="G133" s="4"/>
      <c r="H133" s="4"/>
    </row>
    <row r="134" spans="1:8" ht="15.75" hidden="1" customHeight="1" outlineLevel="2">
      <c r="B134" s="155" t="s">
        <v>38</v>
      </c>
      <c r="C134" s="8" t="s">
        <v>18</v>
      </c>
      <c r="D134" s="3">
        <f>749+70+70+21</f>
        <v>910</v>
      </c>
      <c r="E134" s="4">
        <v>265</v>
      </c>
      <c r="F134" s="4">
        <v>248</v>
      </c>
      <c r="G134" s="4">
        <f>187+50</f>
        <v>237</v>
      </c>
      <c r="H134" s="4">
        <f>188-78+50</f>
        <v>160</v>
      </c>
    </row>
    <row r="135" spans="1:8" ht="15.75" hidden="1" customHeight="1" outlineLevel="2">
      <c r="B135" s="155" t="s">
        <v>38</v>
      </c>
      <c r="C135" s="8" t="s">
        <v>19</v>
      </c>
      <c r="D135" s="3"/>
      <c r="E135" s="4"/>
      <c r="F135" s="4"/>
      <c r="G135" s="4"/>
      <c r="H135" s="4"/>
    </row>
    <row r="136" spans="1:8" ht="15.75" hidden="1" customHeight="1" outlineLevel="2">
      <c r="B136" s="155" t="s">
        <v>38</v>
      </c>
      <c r="C136" s="8" t="s">
        <v>20</v>
      </c>
      <c r="D136" s="3">
        <f>1+3+25+17</f>
        <v>46</v>
      </c>
      <c r="E136" s="4">
        <v>1</v>
      </c>
      <c r="F136" s="4">
        <v>35</v>
      </c>
      <c r="G136" s="4">
        <v>5</v>
      </c>
      <c r="H136" s="4">
        <v>5</v>
      </c>
    </row>
    <row r="137" spans="1:8" ht="15.75" hidden="1" customHeight="1" outlineLevel="2">
      <c r="B137" s="155" t="s">
        <v>38</v>
      </c>
      <c r="C137" s="8" t="s">
        <v>21</v>
      </c>
      <c r="D137" s="3"/>
      <c r="E137" s="4"/>
      <c r="F137" s="4"/>
      <c r="G137" s="4"/>
      <c r="H137" s="4"/>
    </row>
    <row r="138" spans="1:8" ht="15.75" hidden="1" customHeight="1" outlineLevel="2">
      <c r="B138" s="155" t="s">
        <v>38</v>
      </c>
      <c r="C138" s="8" t="s">
        <v>22</v>
      </c>
      <c r="D138" s="3"/>
      <c r="E138" s="4"/>
      <c r="F138" s="4"/>
      <c r="G138" s="4"/>
      <c r="H138" s="4"/>
    </row>
    <row r="139" spans="1:8" ht="15.75" customHeight="1" outlineLevel="1" collapsed="1">
      <c r="A139" s="151">
        <v>1</v>
      </c>
      <c r="B139" s="150" t="s">
        <v>39</v>
      </c>
      <c r="C139" s="8">
        <f t="shared" ref="C139:D139" si="8">SUBTOTAL(9,C125:C138)</f>
        <v>0</v>
      </c>
      <c r="D139" s="3">
        <f t="shared" si="8"/>
        <v>3452</v>
      </c>
      <c r="E139" s="157">
        <f>SUBTOTAL(9,E125:E138)</f>
        <v>539</v>
      </c>
      <c r="F139" s="157">
        <f>SUBTOTAL(9,F125:F138)</f>
        <v>606</v>
      </c>
      <c r="G139" s="157">
        <f>SUBTOTAL(9,G125:G138)</f>
        <v>894</v>
      </c>
      <c r="H139" s="157">
        <f>SUBTOTAL(9,H125:H138)</f>
        <v>1413</v>
      </c>
    </row>
    <row r="140" spans="1:8" ht="15.75" hidden="1" customHeight="1" outlineLevel="2">
      <c r="B140" s="155" t="s">
        <v>40</v>
      </c>
      <c r="C140" s="8" t="s">
        <v>9</v>
      </c>
      <c r="D140" s="3">
        <v>1309</v>
      </c>
      <c r="E140" s="4"/>
      <c r="F140" s="4"/>
      <c r="G140" s="4">
        <v>327</v>
      </c>
      <c r="H140" s="4">
        <f>328+327+327</f>
        <v>982</v>
      </c>
    </row>
    <row r="141" spans="1:8" ht="15.75" hidden="1" customHeight="1" outlineLevel="2">
      <c r="B141" s="155" t="s">
        <v>40</v>
      </c>
      <c r="C141" s="8" t="s">
        <v>10</v>
      </c>
      <c r="D141" s="3"/>
      <c r="E141" s="4"/>
      <c r="F141" s="4"/>
      <c r="G141" s="4"/>
      <c r="H141" s="4"/>
    </row>
    <row r="142" spans="1:8" ht="15.75" hidden="1" customHeight="1" outlineLevel="2">
      <c r="B142" s="155" t="s">
        <v>40</v>
      </c>
      <c r="C142" s="8" t="s">
        <v>11</v>
      </c>
      <c r="D142" s="3"/>
      <c r="E142" s="4"/>
      <c r="F142" s="4"/>
      <c r="G142" s="4"/>
      <c r="H142" s="4"/>
    </row>
    <row r="143" spans="1:8" ht="15.75" hidden="1" customHeight="1" outlineLevel="2">
      <c r="B143" s="155" t="s">
        <v>40</v>
      </c>
      <c r="C143" s="8" t="s">
        <v>12</v>
      </c>
      <c r="D143" s="3"/>
      <c r="E143" s="4"/>
      <c r="F143" s="4"/>
      <c r="G143" s="4"/>
      <c r="H143" s="4"/>
    </row>
    <row r="144" spans="1:8" ht="15.75" hidden="1" customHeight="1" outlineLevel="2">
      <c r="B144" s="155" t="s">
        <v>40</v>
      </c>
      <c r="C144" s="8" t="s">
        <v>13</v>
      </c>
      <c r="D144" s="3"/>
      <c r="E144" s="4"/>
      <c r="F144" s="4"/>
      <c r="G144" s="4"/>
      <c r="H144" s="4"/>
    </row>
    <row r="145" spans="1:8" ht="15.75" hidden="1" customHeight="1" outlineLevel="2">
      <c r="B145" s="155" t="s">
        <v>40</v>
      </c>
      <c r="C145" s="8" t="s">
        <v>14</v>
      </c>
      <c r="D145" s="3"/>
      <c r="E145" s="4"/>
      <c r="F145" s="4"/>
      <c r="G145" s="4"/>
      <c r="H145" s="4"/>
    </row>
    <row r="146" spans="1:8" ht="15.75" hidden="1" customHeight="1" outlineLevel="2">
      <c r="B146" s="155" t="s">
        <v>40</v>
      </c>
      <c r="C146" s="8" t="s">
        <v>15</v>
      </c>
      <c r="D146" s="3"/>
      <c r="E146" s="4"/>
      <c r="F146" s="4"/>
      <c r="G146" s="4"/>
      <c r="H146" s="4"/>
    </row>
    <row r="147" spans="1:8" ht="15.75" hidden="1" customHeight="1" outlineLevel="2">
      <c r="B147" s="155" t="s">
        <v>40</v>
      </c>
      <c r="C147" s="8" t="s">
        <v>16</v>
      </c>
      <c r="D147" s="3"/>
      <c r="E147" s="4"/>
      <c r="F147" s="4"/>
      <c r="G147" s="4"/>
      <c r="H147" s="4"/>
    </row>
    <row r="148" spans="1:8" ht="15.75" hidden="1" customHeight="1" outlineLevel="2">
      <c r="B148" s="155" t="s">
        <v>40</v>
      </c>
      <c r="C148" s="8" t="s">
        <v>17</v>
      </c>
      <c r="D148" s="3"/>
      <c r="E148" s="4"/>
      <c r="F148" s="4"/>
      <c r="G148" s="4"/>
      <c r="H148" s="4"/>
    </row>
    <row r="149" spans="1:8" ht="15.75" hidden="1" customHeight="1" outlineLevel="2">
      <c r="B149" s="155" t="s">
        <v>40</v>
      </c>
      <c r="C149" s="8" t="s">
        <v>18</v>
      </c>
      <c r="D149" s="3"/>
      <c r="E149" s="4"/>
      <c r="F149" s="4"/>
      <c r="G149" s="4"/>
      <c r="H149" s="4"/>
    </row>
    <row r="150" spans="1:8" ht="15.75" hidden="1" customHeight="1" outlineLevel="2">
      <c r="B150" s="155" t="s">
        <v>40</v>
      </c>
      <c r="C150" s="8" t="s">
        <v>19</v>
      </c>
      <c r="D150" s="3"/>
      <c r="E150" s="4"/>
      <c r="F150" s="4"/>
      <c r="G150" s="4"/>
      <c r="H150" s="4"/>
    </row>
    <row r="151" spans="1:8" ht="15.75" hidden="1" customHeight="1" outlineLevel="2">
      <c r="B151" s="155" t="s">
        <v>40</v>
      </c>
      <c r="C151" s="8" t="s">
        <v>20</v>
      </c>
      <c r="D151" s="3"/>
      <c r="E151" s="4"/>
      <c r="F151" s="4"/>
      <c r="G151" s="4"/>
      <c r="H151" s="4"/>
    </row>
    <row r="152" spans="1:8" ht="15.75" hidden="1" customHeight="1" outlineLevel="2">
      <c r="B152" s="155" t="s">
        <v>40</v>
      </c>
      <c r="C152" s="8" t="s">
        <v>21</v>
      </c>
      <c r="D152" s="3"/>
      <c r="E152" s="4"/>
      <c r="F152" s="4"/>
      <c r="G152" s="4"/>
      <c r="H152" s="4"/>
    </row>
    <row r="153" spans="1:8" ht="15.75" hidden="1" customHeight="1" outlineLevel="2">
      <c r="B153" s="155" t="s">
        <v>40</v>
      </c>
      <c r="C153" s="8" t="s">
        <v>22</v>
      </c>
      <c r="D153" s="3"/>
      <c r="E153" s="4"/>
      <c r="F153" s="4"/>
      <c r="G153" s="4"/>
      <c r="H153" s="4"/>
    </row>
    <row r="154" spans="1:8" ht="15.75" customHeight="1" outlineLevel="1" collapsed="1">
      <c r="A154" s="151">
        <v>1</v>
      </c>
      <c r="B154" s="150" t="s">
        <v>41</v>
      </c>
      <c r="C154" s="8">
        <f t="shared" ref="C154:D154" si="9">SUBTOTAL(9,C140:C153)</f>
        <v>0</v>
      </c>
      <c r="D154" s="3">
        <f t="shared" si="9"/>
        <v>1309</v>
      </c>
      <c r="E154" s="157">
        <f>SUBTOTAL(9,E140:E153)</f>
        <v>0</v>
      </c>
      <c r="F154" s="157">
        <f>SUBTOTAL(9,F140:F153)</f>
        <v>0</v>
      </c>
      <c r="G154" s="157">
        <f>SUBTOTAL(9,G140:G153)</f>
        <v>327</v>
      </c>
      <c r="H154" s="157">
        <f>SUBTOTAL(9,H140:H153)</f>
        <v>982</v>
      </c>
    </row>
    <row r="155" spans="1:8" ht="15.75" hidden="1" customHeight="1" outlineLevel="2">
      <c r="B155" s="155" t="s">
        <v>42</v>
      </c>
      <c r="C155" s="8" t="s">
        <v>9</v>
      </c>
      <c r="D155" s="3">
        <v>1685</v>
      </c>
      <c r="E155" s="4">
        <v>124</v>
      </c>
      <c r="F155" s="4">
        <v>152</v>
      </c>
      <c r="G155" s="4">
        <f>546-100</f>
        <v>446</v>
      </c>
      <c r="H155" s="4">
        <f>547+422-300+294</f>
        <v>963</v>
      </c>
    </row>
    <row r="156" spans="1:8" ht="15.75" hidden="1" customHeight="1" outlineLevel="2">
      <c r="B156" s="155" t="s">
        <v>42</v>
      </c>
      <c r="C156" s="8" t="s">
        <v>10</v>
      </c>
      <c r="D156" s="3"/>
      <c r="E156" s="4"/>
      <c r="F156" s="4"/>
      <c r="G156" s="4"/>
      <c r="H156" s="4"/>
    </row>
    <row r="157" spans="1:8" ht="15.75" hidden="1" customHeight="1" outlineLevel="2">
      <c r="B157" s="155" t="s">
        <v>42</v>
      </c>
      <c r="C157" s="8" t="s">
        <v>11</v>
      </c>
      <c r="D157" s="3"/>
      <c r="E157" s="4"/>
      <c r="F157" s="4"/>
      <c r="G157" s="4"/>
      <c r="H157" s="4"/>
    </row>
    <row r="158" spans="1:8" ht="15.75" hidden="1" customHeight="1" outlineLevel="2">
      <c r="B158" s="155" t="s">
        <v>42</v>
      </c>
      <c r="C158" s="8" t="s">
        <v>12</v>
      </c>
      <c r="D158" s="3"/>
      <c r="E158" s="4"/>
      <c r="F158" s="4"/>
      <c r="G158" s="4"/>
      <c r="H158" s="4"/>
    </row>
    <row r="159" spans="1:8" ht="15.75" hidden="1" customHeight="1" outlineLevel="2">
      <c r="B159" s="155" t="s">
        <v>42</v>
      </c>
      <c r="C159" s="8" t="s">
        <v>13</v>
      </c>
      <c r="D159" s="3"/>
      <c r="E159" s="4"/>
      <c r="F159" s="4"/>
      <c r="G159" s="4"/>
      <c r="H159" s="4"/>
    </row>
    <row r="160" spans="1:8" ht="15.75" hidden="1" customHeight="1" outlineLevel="2">
      <c r="B160" s="155" t="s">
        <v>42</v>
      </c>
      <c r="C160" s="8" t="s">
        <v>14</v>
      </c>
      <c r="D160" s="3"/>
      <c r="E160" s="4"/>
      <c r="F160" s="4"/>
      <c r="G160" s="4"/>
      <c r="H160" s="4"/>
    </row>
    <row r="161" spans="1:8" ht="15.75" hidden="1" customHeight="1" outlineLevel="2">
      <c r="B161" s="155" t="s">
        <v>42</v>
      </c>
      <c r="C161" s="8" t="s">
        <v>15</v>
      </c>
      <c r="D161" s="3"/>
      <c r="E161" s="4"/>
      <c r="F161" s="4"/>
      <c r="G161" s="4"/>
      <c r="H161" s="4"/>
    </row>
    <row r="162" spans="1:8" ht="15.75" hidden="1" customHeight="1" outlineLevel="2">
      <c r="B162" s="155" t="s">
        <v>42</v>
      </c>
      <c r="C162" s="8" t="s">
        <v>16</v>
      </c>
      <c r="D162" s="3"/>
      <c r="E162" s="4"/>
      <c r="F162" s="4"/>
      <c r="G162" s="4"/>
      <c r="H162" s="4"/>
    </row>
    <row r="163" spans="1:8" ht="15.75" hidden="1" customHeight="1" outlineLevel="2">
      <c r="B163" s="155" t="s">
        <v>42</v>
      </c>
      <c r="C163" s="8" t="s">
        <v>17</v>
      </c>
      <c r="D163" s="3"/>
      <c r="E163" s="4"/>
      <c r="F163" s="4"/>
      <c r="G163" s="4"/>
      <c r="H163" s="4"/>
    </row>
    <row r="164" spans="1:8" ht="15.75" hidden="1" customHeight="1" outlineLevel="2">
      <c r="B164" s="155" t="s">
        <v>42</v>
      </c>
      <c r="C164" s="8" t="s">
        <v>18</v>
      </c>
      <c r="D164" s="3"/>
      <c r="E164" s="4"/>
      <c r="F164" s="4"/>
      <c r="G164" s="4"/>
      <c r="H164" s="4"/>
    </row>
    <row r="165" spans="1:8" ht="15.75" hidden="1" customHeight="1" outlineLevel="2">
      <c r="B165" s="155" t="s">
        <v>42</v>
      </c>
      <c r="C165" s="8" t="s">
        <v>19</v>
      </c>
      <c r="D165" s="3"/>
      <c r="E165" s="4"/>
      <c r="F165" s="4"/>
      <c r="G165" s="4"/>
      <c r="H165" s="4"/>
    </row>
    <row r="166" spans="1:8" ht="15.75" hidden="1" customHeight="1" outlineLevel="2">
      <c r="B166" s="155" t="s">
        <v>42</v>
      </c>
      <c r="C166" s="8" t="s">
        <v>20</v>
      </c>
      <c r="D166" s="3"/>
      <c r="E166" s="4"/>
      <c r="F166" s="4"/>
      <c r="G166" s="4"/>
      <c r="H166" s="4"/>
    </row>
    <row r="167" spans="1:8" ht="15.75" hidden="1" customHeight="1" outlineLevel="2">
      <c r="B167" s="155" t="s">
        <v>42</v>
      </c>
      <c r="C167" s="8" t="s">
        <v>21</v>
      </c>
      <c r="D167" s="3"/>
      <c r="E167" s="4"/>
      <c r="F167" s="4"/>
      <c r="G167" s="4"/>
      <c r="H167" s="4"/>
    </row>
    <row r="168" spans="1:8" ht="15.75" hidden="1" customHeight="1" outlineLevel="2">
      <c r="B168" s="155" t="s">
        <v>42</v>
      </c>
      <c r="C168" s="8" t="s">
        <v>22</v>
      </c>
      <c r="D168" s="3"/>
      <c r="E168" s="4"/>
      <c r="F168" s="4"/>
      <c r="G168" s="4"/>
      <c r="H168" s="4"/>
    </row>
    <row r="169" spans="1:8" ht="15.75" customHeight="1" outlineLevel="1" collapsed="1">
      <c r="A169" s="151">
        <v>1</v>
      </c>
      <c r="B169" s="150" t="s">
        <v>43</v>
      </c>
      <c r="C169" s="8">
        <f t="shared" ref="C169:D169" si="10">SUBTOTAL(9,C155:C168)</f>
        <v>0</v>
      </c>
      <c r="D169" s="3">
        <f t="shared" si="10"/>
        <v>1685</v>
      </c>
      <c r="E169" s="157">
        <f>SUBTOTAL(9,E155:E168)</f>
        <v>124</v>
      </c>
      <c r="F169" s="157">
        <f>SUBTOTAL(9,F155:F168)</f>
        <v>152</v>
      </c>
      <c r="G169" s="157">
        <f>SUBTOTAL(9,G155:G168)</f>
        <v>446</v>
      </c>
      <c r="H169" s="157">
        <f>SUBTOTAL(9,H155:H168)</f>
        <v>963</v>
      </c>
    </row>
    <row r="170" spans="1:8" ht="15.75" hidden="1" customHeight="1" outlineLevel="2">
      <c r="B170" s="155" t="s">
        <v>44</v>
      </c>
      <c r="C170" s="8" t="s">
        <v>9</v>
      </c>
      <c r="D170" s="3"/>
      <c r="E170" s="4"/>
      <c r="F170" s="4"/>
      <c r="G170" s="4"/>
      <c r="H170" s="4"/>
    </row>
    <row r="171" spans="1:8" ht="15.75" hidden="1" customHeight="1" outlineLevel="2">
      <c r="B171" s="155" t="s">
        <v>44</v>
      </c>
      <c r="C171" s="8" t="s">
        <v>10</v>
      </c>
      <c r="D171" s="3"/>
      <c r="E171" s="4"/>
      <c r="F171" s="4"/>
      <c r="G171" s="4"/>
      <c r="H171" s="4"/>
    </row>
    <row r="172" spans="1:8" ht="15.75" hidden="1" customHeight="1" outlineLevel="2">
      <c r="B172" s="155" t="s">
        <v>44</v>
      </c>
      <c r="C172" s="8" t="s">
        <v>11</v>
      </c>
      <c r="D172" s="3"/>
      <c r="E172" s="4"/>
      <c r="F172" s="4"/>
      <c r="G172" s="4"/>
      <c r="H172" s="4"/>
    </row>
    <row r="173" spans="1:8" ht="15.75" hidden="1" customHeight="1" outlineLevel="2">
      <c r="B173" s="155" t="s">
        <v>44</v>
      </c>
      <c r="C173" s="8" t="s">
        <v>12</v>
      </c>
      <c r="D173" s="3"/>
      <c r="E173" s="4"/>
      <c r="F173" s="4"/>
      <c r="G173" s="4"/>
      <c r="H173" s="4"/>
    </row>
    <row r="174" spans="1:8" ht="15.75" hidden="1" customHeight="1" outlineLevel="2">
      <c r="B174" s="155" t="s">
        <v>44</v>
      </c>
      <c r="C174" s="8" t="s">
        <v>13</v>
      </c>
      <c r="D174" s="3"/>
      <c r="E174" s="4"/>
      <c r="F174" s="4"/>
      <c r="G174" s="4"/>
      <c r="H174" s="4"/>
    </row>
    <row r="175" spans="1:8" ht="15.75" hidden="1" customHeight="1" outlineLevel="2">
      <c r="B175" s="155" t="s">
        <v>44</v>
      </c>
      <c r="C175" s="8" t="s">
        <v>14</v>
      </c>
      <c r="D175" s="3"/>
      <c r="E175" s="4"/>
      <c r="F175" s="4"/>
      <c r="G175" s="4"/>
      <c r="H175" s="4"/>
    </row>
    <row r="176" spans="1:8" ht="15.75" hidden="1" customHeight="1" outlineLevel="2">
      <c r="B176" s="155" t="s">
        <v>44</v>
      </c>
      <c r="C176" s="8" t="s">
        <v>15</v>
      </c>
      <c r="D176" s="3"/>
      <c r="E176" s="4"/>
      <c r="F176" s="4"/>
      <c r="G176" s="4"/>
      <c r="H176" s="4"/>
    </row>
    <row r="177" spans="1:8" ht="15.75" hidden="1" customHeight="1" outlineLevel="2">
      <c r="B177" s="155" t="s">
        <v>44</v>
      </c>
      <c r="C177" s="8" t="s">
        <v>16</v>
      </c>
      <c r="D177" s="3"/>
      <c r="E177" s="4"/>
      <c r="F177" s="4"/>
      <c r="G177" s="4"/>
      <c r="H177" s="4"/>
    </row>
    <row r="178" spans="1:8" ht="15.75" hidden="1" customHeight="1" outlineLevel="2">
      <c r="B178" s="155" t="s">
        <v>44</v>
      </c>
      <c r="C178" s="8" t="s">
        <v>17</v>
      </c>
      <c r="D178" s="3"/>
      <c r="E178" s="4"/>
      <c r="F178" s="4"/>
      <c r="G178" s="4"/>
      <c r="H178" s="4"/>
    </row>
    <row r="179" spans="1:8" ht="15.75" hidden="1" customHeight="1" outlineLevel="2">
      <c r="B179" s="155" t="s">
        <v>44</v>
      </c>
      <c r="C179" s="8" t="s">
        <v>18</v>
      </c>
      <c r="D179" s="3"/>
      <c r="E179" s="4"/>
      <c r="F179" s="4"/>
      <c r="G179" s="4"/>
      <c r="H179" s="4"/>
    </row>
    <row r="180" spans="1:8" ht="15.75" hidden="1" customHeight="1" outlineLevel="2">
      <c r="B180" s="155" t="s">
        <v>44</v>
      </c>
      <c r="C180" s="8" t="s">
        <v>19</v>
      </c>
      <c r="D180" s="3"/>
      <c r="E180" s="4"/>
      <c r="F180" s="4"/>
      <c r="G180" s="4"/>
      <c r="H180" s="4"/>
    </row>
    <row r="181" spans="1:8" ht="15.75" hidden="1" customHeight="1" outlineLevel="2">
      <c r="B181" s="155" t="s">
        <v>44</v>
      </c>
      <c r="C181" s="8" t="s">
        <v>20</v>
      </c>
      <c r="D181" s="3"/>
      <c r="E181" s="4"/>
      <c r="F181" s="4"/>
      <c r="G181" s="4"/>
      <c r="H181" s="4"/>
    </row>
    <row r="182" spans="1:8" ht="15.75" hidden="1" customHeight="1" outlineLevel="2">
      <c r="B182" s="155" t="s">
        <v>44</v>
      </c>
      <c r="C182" s="8" t="s">
        <v>21</v>
      </c>
      <c r="D182" s="3"/>
      <c r="E182" s="4"/>
      <c r="F182" s="4"/>
      <c r="G182" s="4"/>
      <c r="H182" s="4"/>
    </row>
    <row r="183" spans="1:8" ht="15.75" hidden="1" customHeight="1" outlineLevel="2">
      <c r="B183" s="155" t="s">
        <v>44</v>
      </c>
      <c r="C183" s="8" t="s">
        <v>22</v>
      </c>
      <c r="D183" s="3"/>
      <c r="E183" s="4"/>
      <c r="F183" s="4"/>
      <c r="G183" s="4"/>
      <c r="H183" s="4"/>
    </row>
    <row r="184" spans="1:8" ht="15.75" customHeight="1" outlineLevel="1" collapsed="1">
      <c r="A184" s="151">
        <v>1</v>
      </c>
      <c r="B184" s="150" t="s">
        <v>45</v>
      </c>
      <c r="C184" s="8">
        <f t="shared" ref="C184:D184" si="11">SUBTOTAL(9,C170:C183)</f>
        <v>0</v>
      </c>
      <c r="D184" s="3">
        <f t="shared" si="11"/>
        <v>0</v>
      </c>
      <c r="E184" s="157">
        <f>SUBTOTAL(9,E170:E183)</f>
        <v>0</v>
      </c>
      <c r="F184" s="157">
        <f>SUBTOTAL(9,F170:F183)</f>
        <v>0</v>
      </c>
      <c r="G184" s="157">
        <f>SUBTOTAL(9,G170:G183)</f>
        <v>0</v>
      </c>
      <c r="H184" s="157">
        <f>SUBTOTAL(9,H170:H183)</f>
        <v>0</v>
      </c>
    </row>
    <row r="185" spans="1:8" ht="15.75" hidden="1" customHeight="1" outlineLevel="2">
      <c r="B185" s="155" t="s">
        <v>46</v>
      </c>
      <c r="C185" s="8" t="s">
        <v>9</v>
      </c>
      <c r="D185" s="3">
        <v>15</v>
      </c>
      <c r="E185" s="4"/>
      <c r="F185" s="4"/>
      <c r="G185" s="4">
        <f>134-130</f>
        <v>4</v>
      </c>
      <c r="H185" s="4">
        <f>133+134-260+4</f>
        <v>11</v>
      </c>
    </row>
    <row r="186" spans="1:8" ht="15.75" hidden="1" customHeight="1" outlineLevel="2">
      <c r="B186" s="155" t="s">
        <v>46</v>
      </c>
      <c r="C186" s="8" t="s">
        <v>10</v>
      </c>
      <c r="D186" s="3"/>
      <c r="E186" s="4"/>
      <c r="F186" s="4"/>
      <c r="G186" s="4"/>
      <c r="H186" s="4"/>
    </row>
    <row r="187" spans="1:8" ht="15.75" hidden="1" customHeight="1" outlineLevel="2">
      <c r="B187" s="155" t="s">
        <v>46</v>
      </c>
      <c r="C187" s="8" t="s">
        <v>11</v>
      </c>
      <c r="D187" s="3"/>
      <c r="E187" s="4"/>
      <c r="F187" s="4"/>
      <c r="G187" s="4"/>
      <c r="H187" s="4"/>
    </row>
    <row r="188" spans="1:8" ht="15.75" hidden="1" customHeight="1" outlineLevel="2">
      <c r="B188" s="155" t="s">
        <v>46</v>
      </c>
      <c r="C188" s="8" t="s">
        <v>12</v>
      </c>
      <c r="D188" s="3"/>
      <c r="E188" s="4"/>
      <c r="F188" s="4"/>
      <c r="G188" s="4"/>
      <c r="H188" s="4"/>
    </row>
    <row r="189" spans="1:8" ht="15.75" hidden="1" customHeight="1" outlineLevel="2">
      <c r="B189" s="155" t="s">
        <v>46</v>
      </c>
      <c r="C189" s="8" t="s">
        <v>13</v>
      </c>
      <c r="D189" s="3"/>
      <c r="E189" s="4"/>
      <c r="F189" s="4"/>
      <c r="G189" s="4"/>
      <c r="H189" s="4"/>
    </row>
    <row r="190" spans="1:8" ht="15.75" hidden="1" customHeight="1" outlineLevel="2">
      <c r="B190" s="155" t="s">
        <v>46</v>
      </c>
      <c r="C190" s="8" t="s">
        <v>14</v>
      </c>
      <c r="D190" s="3"/>
      <c r="E190" s="4"/>
      <c r="F190" s="4"/>
      <c r="G190" s="4"/>
      <c r="H190" s="4"/>
    </row>
    <row r="191" spans="1:8" ht="15.75" hidden="1" customHeight="1" outlineLevel="2">
      <c r="B191" s="155" t="s">
        <v>46</v>
      </c>
      <c r="C191" s="8" t="s">
        <v>15</v>
      </c>
      <c r="D191" s="3"/>
      <c r="E191" s="4"/>
      <c r="F191" s="4"/>
      <c r="G191" s="4"/>
      <c r="H191" s="4"/>
    </row>
    <row r="192" spans="1:8" ht="15.75" hidden="1" customHeight="1" outlineLevel="2">
      <c r="B192" s="155" t="s">
        <v>46</v>
      </c>
      <c r="C192" s="8" t="s">
        <v>16</v>
      </c>
      <c r="D192" s="3"/>
      <c r="E192" s="4"/>
      <c r="F192" s="4"/>
      <c r="G192" s="4"/>
      <c r="H192" s="4"/>
    </row>
    <row r="193" spans="1:8" ht="15.75" hidden="1" customHeight="1" outlineLevel="2">
      <c r="B193" s="155" t="s">
        <v>46</v>
      </c>
      <c r="C193" s="8" t="s">
        <v>17</v>
      </c>
      <c r="D193" s="3"/>
      <c r="E193" s="4"/>
      <c r="F193" s="4"/>
      <c r="G193" s="4"/>
      <c r="H193" s="4"/>
    </row>
    <row r="194" spans="1:8" ht="15.75" hidden="1" customHeight="1" outlineLevel="2">
      <c r="B194" s="155" t="s">
        <v>46</v>
      </c>
      <c r="C194" s="8" t="s">
        <v>18</v>
      </c>
      <c r="D194" s="3"/>
      <c r="E194" s="4"/>
      <c r="F194" s="4"/>
      <c r="G194" s="4"/>
      <c r="H194" s="4"/>
    </row>
    <row r="195" spans="1:8" ht="15.75" hidden="1" customHeight="1" outlineLevel="2">
      <c r="B195" s="155" t="s">
        <v>46</v>
      </c>
      <c r="C195" s="8" t="s">
        <v>19</v>
      </c>
      <c r="D195" s="3"/>
      <c r="E195" s="4"/>
      <c r="F195" s="4"/>
      <c r="G195" s="4"/>
      <c r="H195" s="4"/>
    </row>
    <row r="196" spans="1:8" ht="15.75" hidden="1" customHeight="1" outlineLevel="2">
      <c r="B196" s="155" t="s">
        <v>46</v>
      </c>
      <c r="C196" s="8" t="s">
        <v>20</v>
      </c>
      <c r="D196" s="3"/>
      <c r="E196" s="4"/>
      <c r="F196" s="4"/>
      <c r="G196" s="4"/>
      <c r="H196" s="4"/>
    </row>
    <row r="197" spans="1:8" ht="15.75" hidden="1" customHeight="1" outlineLevel="2">
      <c r="B197" s="155" t="s">
        <v>46</v>
      </c>
      <c r="C197" s="8" t="s">
        <v>21</v>
      </c>
      <c r="D197" s="3"/>
      <c r="E197" s="4"/>
      <c r="F197" s="4"/>
      <c r="G197" s="4"/>
      <c r="H197" s="4"/>
    </row>
    <row r="198" spans="1:8" ht="15.75" hidden="1" customHeight="1" outlineLevel="2">
      <c r="B198" s="155" t="s">
        <v>46</v>
      </c>
      <c r="C198" s="8" t="s">
        <v>22</v>
      </c>
      <c r="D198" s="3"/>
      <c r="E198" s="4"/>
      <c r="F198" s="4"/>
      <c r="G198" s="4"/>
      <c r="H198" s="4"/>
    </row>
    <row r="199" spans="1:8" ht="15.75" customHeight="1" outlineLevel="1" collapsed="1">
      <c r="A199" s="151">
        <v>1</v>
      </c>
      <c r="B199" s="150" t="s">
        <v>47</v>
      </c>
      <c r="C199" s="8">
        <f t="shared" ref="C199:D199" si="12">SUBTOTAL(9,C185:C198)</f>
        <v>0</v>
      </c>
      <c r="D199" s="3">
        <f t="shared" si="12"/>
        <v>15</v>
      </c>
      <c r="E199" s="157">
        <f>SUBTOTAL(9,E185:E198)</f>
        <v>0</v>
      </c>
      <c r="F199" s="157">
        <f>SUBTOTAL(9,F185:F198)</f>
        <v>0</v>
      </c>
      <c r="G199" s="157">
        <f>SUBTOTAL(9,G185:G198)</f>
        <v>4</v>
      </c>
      <c r="H199" s="157">
        <f>SUBTOTAL(9,H185:H198)</f>
        <v>11</v>
      </c>
    </row>
    <row r="200" spans="1:8" ht="15.75" hidden="1" customHeight="1" outlineLevel="2">
      <c r="B200" s="155" t="s">
        <v>48</v>
      </c>
      <c r="C200" s="8" t="s">
        <v>9</v>
      </c>
      <c r="D200" s="3"/>
      <c r="E200" s="4"/>
      <c r="F200" s="4"/>
      <c r="G200" s="4"/>
      <c r="H200" s="4"/>
    </row>
    <row r="201" spans="1:8" ht="15.75" hidden="1" customHeight="1" outlineLevel="2">
      <c r="B201" s="155" t="s">
        <v>48</v>
      </c>
      <c r="C201" s="8" t="s">
        <v>10</v>
      </c>
      <c r="D201" s="3">
        <v>55</v>
      </c>
      <c r="E201" s="4"/>
      <c r="F201" s="4">
        <v>1</v>
      </c>
      <c r="G201" s="4">
        <v>14</v>
      </c>
      <c r="H201" s="4">
        <f>13+14+13</f>
        <v>40</v>
      </c>
    </row>
    <row r="202" spans="1:8" ht="15.75" hidden="1" customHeight="1" outlineLevel="2">
      <c r="B202" s="155" t="s">
        <v>48</v>
      </c>
      <c r="C202" s="8" t="s">
        <v>11</v>
      </c>
      <c r="D202" s="3">
        <v>55</v>
      </c>
      <c r="E202" s="4">
        <v>1</v>
      </c>
      <c r="F202" s="4">
        <v>1</v>
      </c>
      <c r="G202" s="4">
        <v>14</v>
      </c>
      <c r="H202" s="4">
        <f>13+13+13</f>
        <v>39</v>
      </c>
    </row>
    <row r="203" spans="1:8" ht="15.75" hidden="1" customHeight="1" outlineLevel="2">
      <c r="B203" s="155" t="s">
        <v>48</v>
      </c>
      <c r="C203" s="8" t="s">
        <v>12</v>
      </c>
      <c r="D203" s="3"/>
      <c r="E203" s="4"/>
      <c r="F203" s="4"/>
      <c r="G203" s="4"/>
      <c r="H203" s="4"/>
    </row>
    <row r="204" spans="1:8" ht="15.75" hidden="1" customHeight="1" outlineLevel="2">
      <c r="B204" s="155" t="s">
        <v>48</v>
      </c>
      <c r="C204" s="8" t="s">
        <v>13</v>
      </c>
      <c r="D204" s="3">
        <v>55</v>
      </c>
      <c r="E204" s="4"/>
      <c r="F204" s="4"/>
      <c r="G204" s="4">
        <v>14</v>
      </c>
      <c r="H204" s="4">
        <f>13+14+14</f>
        <v>41</v>
      </c>
    </row>
    <row r="205" spans="1:8" ht="15.75" hidden="1" customHeight="1" outlineLevel="2">
      <c r="B205" s="155" t="s">
        <v>48</v>
      </c>
      <c r="C205" s="8" t="s">
        <v>14</v>
      </c>
      <c r="D205" s="3">
        <v>55</v>
      </c>
      <c r="E205" s="4">
        <v>6</v>
      </c>
      <c r="F205" s="4"/>
      <c r="G205" s="4">
        <v>13</v>
      </c>
      <c r="H205" s="4">
        <f>14+8+14</f>
        <v>36</v>
      </c>
    </row>
    <row r="206" spans="1:8" ht="15.75" hidden="1" customHeight="1" outlineLevel="2">
      <c r="B206" s="155" t="s">
        <v>48</v>
      </c>
      <c r="C206" s="8" t="s">
        <v>15</v>
      </c>
      <c r="D206" s="3">
        <v>55</v>
      </c>
      <c r="E206" s="4">
        <v>2</v>
      </c>
      <c r="F206" s="4">
        <v>1</v>
      </c>
      <c r="G206" s="4">
        <v>14</v>
      </c>
      <c r="H206" s="4">
        <f>14+12+12</f>
        <v>38</v>
      </c>
    </row>
    <row r="207" spans="1:8" ht="15.75" hidden="1" customHeight="1" outlineLevel="2">
      <c r="B207" s="155" t="s">
        <v>48</v>
      </c>
      <c r="C207" s="8" t="s">
        <v>16</v>
      </c>
      <c r="D207" s="3">
        <v>55</v>
      </c>
      <c r="E207" s="4">
        <v>1</v>
      </c>
      <c r="F207" s="4"/>
      <c r="G207" s="4">
        <v>14</v>
      </c>
      <c r="H207" s="4">
        <f>14+12+14</f>
        <v>40</v>
      </c>
    </row>
    <row r="208" spans="1:8" ht="15.75" hidden="1" customHeight="1" outlineLevel="2">
      <c r="B208" s="155" t="s">
        <v>48</v>
      </c>
      <c r="C208" s="8" t="s">
        <v>17</v>
      </c>
      <c r="D208" s="3">
        <f>720-250</f>
        <v>470</v>
      </c>
      <c r="E208" s="4">
        <v>35</v>
      </c>
      <c r="F208" s="4">
        <v>10</v>
      </c>
      <c r="G208" s="4">
        <f>179-75</f>
        <v>104</v>
      </c>
      <c r="H208" s="4">
        <f>183+144-75+69</f>
        <v>321</v>
      </c>
    </row>
    <row r="209" spans="1:8" ht="15.75" hidden="1" customHeight="1" outlineLevel="2">
      <c r="B209" s="155" t="s">
        <v>48</v>
      </c>
      <c r="C209" s="8" t="s">
        <v>18</v>
      </c>
      <c r="D209" s="3"/>
      <c r="E209" s="4"/>
      <c r="F209" s="4"/>
      <c r="G209" s="4"/>
      <c r="H209" s="4"/>
    </row>
    <row r="210" spans="1:8" ht="15.75" hidden="1" customHeight="1" outlineLevel="2">
      <c r="B210" s="155" t="s">
        <v>48</v>
      </c>
      <c r="C210" s="8" t="s">
        <v>19</v>
      </c>
      <c r="D210" s="3"/>
      <c r="E210" s="4"/>
      <c r="F210" s="4"/>
      <c r="G210" s="4"/>
      <c r="H210" s="4"/>
    </row>
    <row r="211" spans="1:8" ht="15.75" hidden="1" customHeight="1" outlineLevel="2">
      <c r="B211" s="155" t="s">
        <v>48</v>
      </c>
      <c r="C211" s="8" t="s">
        <v>20</v>
      </c>
      <c r="D211" s="3">
        <v>55</v>
      </c>
      <c r="E211" s="4">
        <v>19</v>
      </c>
      <c r="F211" s="4">
        <v>5</v>
      </c>
      <c r="G211" s="4">
        <v>14</v>
      </c>
      <c r="H211" s="4">
        <f>13-5+9</f>
        <v>17</v>
      </c>
    </row>
    <row r="212" spans="1:8" ht="15.75" hidden="1" customHeight="1" outlineLevel="2">
      <c r="B212" s="155" t="s">
        <v>48</v>
      </c>
      <c r="C212" s="8" t="s">
        <v>21</v>
      </c>
      <c r="D212" s="3"/>
      <c r="E212" s="4"/>
      <c r="F212" s="4"/>
      <c r="G212" s="4"/>
      <c r="H212" s="4"/>
    </row>
    <row r="213" spans="1:8" ht="15.75" hidden="1" customHeight="1" outlineLevel="2">
      <c r="B213" s="155" t="s">
        <v>48</v>
      </c>
      <c r="C213" s="8" t="s">
        <v>22</v>
      </c>
      <c r="D213" s="3"/>
      <c r="E213" s="4"/>
      <c r="F213" s="4"/>
      <c r="G213" s="4"/>
      <c r="H213" s="4"/>
    </row>
    <row r="214" spans="1:8" ht="15.75" customHeight="1" outlineLevel="1" collapsed="1">
      <c r="A214" s="151">
        <v>1</v>
      </c>
      <c r="B214" s="150" t="s">
        <v>49</v>
      </c>
      <c r="C214" s="8">
        <f t="shared" ref="C214:D214" si="13">SUBTOTAL(9,C200:C213)</f>
        <v>0</v>
      </c>
      <c r="D214" s="3">
        <f t="shared" si="13"/>
        <v>855</v>
      </c>
      <c r="E214" s="157">
        <f>SUBTOTAL(9,E200:E213)</f>
        <v>64</v>
      </c>
      <c r="F214" s="157">
        <f>SUBTOTAL(9,F200:F213)</f>
        <v>18</v>
      </c>
      <c r="G214" s="157">
        <f>SUBTOTAL(9,G200:G213)</f>
        <v>201</v>
      </c>
      <c r="H214" s="157">
        <f>SUBTOTAL(9,H200:H213)</f>
        <v>572</v>
      </c>
    </row>
    <row r="215" spans="1:8" ht="15.75" hidden="1" customHeight="1" outlineLevel="2">
      <c r="B215" s="155" t="s">
        <v>50</v>
      </c>
      <c r="C215" s="8" t="s">
        <v>9</v>
      </c>
      <c r="D215" s="3">
        <v>251</v>
      </c>
      <c r="E215" s="4"/>
      <c r="F215" s="4"/>
      <c r="G215" s="4">
        <v>75</v>
      </c>
      <c r="H215" s="4">
        <f>76+75+25</f>
        <v>176</v>
      </c>
    </row>
    <row r="216" spans="1:8" ht="15.75" hidden="1" customHeight="1" outlineLevel="2">
      <c r="B216" s="155" t="s">
        <v>50</v>
      </c>
      <c r="C216" s="8" t="s">
        <v>10</v>
      </c>
      <c r="D216" s="3"/>
      <c r="E216" s="4"/>
      <c r="F216" s="4"/>
      <c r="G216" s="4"/>
      <c r="H216" s="4"/>
    </row>
    <row r="217" spans="1:8" ht="15.75" hidden="1" customHeight="1" outlineLevel="2">
      <c r="B217" s="155" t="s">
        <v>50</v>
      </c>
      <c r="C217" s="8" t="s">
        <v>11</v>
      </c>
      <c r="D217" s="3"/>
      <c r="E217" s="4"/>
      <c r="F217" s="4"/>
      <c r="G217" s="4"/>
      <c r="H217" s="4"/>
    </row>
    <row r="218" spans="1:8" ht="15.75" hidden="1" customHeight="1" outlineLevel="2">
      <c r="B218" s="155" t="s">
        <v>50</v>
      </c>
      <c r="C218" s="8" t="s">
        <v>12</v>
      </c>
      <c r="D218" s="3"/>
      <c r="E218" s="4"/>
      <c r="F218" s="4"/>
      <c r="G218" s="4"/>
      <c r="H218" s="4"/>
    </row>
    <row r="219" spans="1:8" ht="15.75" hidden="1" customHeight="1" outlineLevel="2">
      <c r="B219" s="155" t="s">
        <v>50</v>
      </c>
      <c r="C219" s="8" t="s">
        <v>13</v>
      </c>
      <c r="D219" s="3"/>
      <c r="E219" s="4"/>
      <c r="F219" s="4"/>
      <c r="G219" s="4"/>
      <c r="H219" s="4"/>
    </row>
    <row r="220" spans="1:8" ht="15.75" hidden="1" customHeight="1" outlineLevel="2">
      <c r="B220" s="155" t="s">
        <v>50</v>
      </c>
      <c r="C220" s="8" t="s">
        <v>14</v>
      </c>
      <c r="D220" s="3"/>
      <c r="E220" s="4"/>
      <c r="F220" s="4"/>
      <c r="G220" s="4"/>
      <c r="H220" s="4"/>
    </row>
    <row r="221" spans="1:8" ht="15.75" hidden="1" customHeight="1" outlineLevel="2">
      <c r="B221" s="155" t="s">
        <v>50</v>
      </c>
      <c r="C221" s="8" t="s">
        <v>15</v>
      </c>
      <c r="D221" s="3"/>
      <c r="E221" s="4"/>
      <c r="F221" s="4"/>
      <c r="G221" s="4"/>
      <c r="H221" s="4"/>
    </row>
    <row r="222" spans="1:8" ht="15.75" hidden="1" customHeight="1" outlineLevel="2">
      <c r="B222" s="155" t="s">
        <v>50</v>
      </c>
      <c r="C222" s="8" t="s">
        <v>16</v>
      </c>
      <c r="D222" s="3"/>
      <c r="E222" s="4"/>
      <c r="F222" s="4"/>
      <c r="G222" s="4"/>
      <c r="H222" s="4"/>
    </row>
    <row r="223" spans="1:8" ht="15.75" hidden="1" customHeight="1" outlineLevel="2">
      <c r="B223" s="155" t="s">
        <v>50</v>
      </c>
      <c r="C223" s="8" t="s">
        <v>17</v>
      </c>
      <c r="D223" s="3"/>
      <c r="E223" s="4"/>
      <c r="F223" s="4"/>
      <c r="G223" s="4"/>
      <c r="H223" s="4"/>
    </row>
    <row r="224" spans="1:8" ht="15.75" hidden="1" customHeight="1" outlineLevel="2">
      <c r="B224" s="155" t="s">
        <v>50</v>
      </c>
      <c r="C224" s="8" t="s">
        <v>18</v>
      </c>
      <c r="D224" s="3"/>
      <c r="E224" s="4"/>
      <c r="F224" s="4"/>
      <c r="G224" s="4"/>
      <c r="H224" s="4"/>
    </row>
    <row r="225" spans="1:8" ht="15.75" hidden="1" customHeight="1" outlineLevel="2">
      <c r="B225" s="155" t="s">
        <v>50</v>
      </c>
      <c r="C225" s="8" t="s">
        <v>19</v>
      </c>
      <c r="D225" s="3"/>
      <c r="E225" s="4"/>
      <c r="F225" s="4"/>
      <c r="G225" s="4"/>
      <c r="H225" s="4"/>
    </row>
    <row r="226" spans="1:8" ht="15.75" hidden="1" customHeight="1" outlineLevel="2">
      <c r="B226" s="155" t="s">
        <v>50</v>
      </c>
      <c r="C226" s="8" t="s">
        <v>20</v>
      </c>
      <c r="D226" s="3"/>
      <c r="E226" s="4"/>
      <c r="F226" s="4"/>
      <c r="G226" s="4"/>
      <c r="H226" s="4"/>
    </row>
    <row r="227" spans="1:8" ht="15.75" hidden="1" customHeight="1" outlineLevel="2">
      <c r="B227" s="155" t="s">
        <v>50</v>
      </c>
      <c r="C227" s="8" t="s">
        <v>21</v>
      </c>
      <c r="D227" s="3"/>
      <c r="E227" s="4"/>
      <c r="F227" s="4"/>
      <c r="G227" s="4"/>
      <c r="H227" s="4"/>
    </row>
    <row r="228" spans="1:8" ht="15.75" hidden="1" customHeight="1" outlineLevel="2">
      <c r="B228" s="155" t="s">
        <v>50</v>
      </c>
      <c r="C228" s="8" t="s">
        <v>22</v>
      </c>
      <c r="D228" s="3"/>
      <c r="E228" s="4"/>
      <c r="F228" s="4"/>
      <c r="G228" s="4"/>
      <c r="H228" s="4"/>
    </row>
    <row r="229" spans="1:8" ht="15.75" customHeight="1" outlineLevel="1" collapsed="1">
      <c r="A229" s="151">
        <v>1</v>
      </c>
      <c r="B229" s="150" t="s">
        <v>51</v>
      </c>
      <c r="C229" s="8">
        <f t="shared" ref="C229:D229" si="14">SUBTOTAL(9,C215:C228)</f>
        <v>0</v>
      </c>
      <c r="D229" s="3">
        <f t="shared" si="14"/>
        <v>251</v>
      </c>
      <c r="E229" s="157">
        <f>SUBTOTAL(9,E215:E228)</f>
        <v>0</v>
      </c>
      <c r="F229" s="157">
        <f>SUBTOTAL(9,F215:F228)</f>
        <v>0</v>
      </c>
      <c r="G229" s="157">
        <f>SUBTOTAL(9,G215:G228)</f>
        <v>75</v>
      </c>
      <c r="H229" s="157">
        <f>SUBTOTAL(9,H215:H228)</f>
        <v>176</v>
      </c>
    </row>
    <row r="230" spans="1:8" ht="15.75" hidden="1" customHeight="1" outlineLevel="2">
      <c r="B230" s="155" t="s">
        <v>52</v>
      </c>
      <c r="C230" s="8" t="s">
        <v>9</v>
      </c>
      <c r="D230" s="3">
        <f>250+55</f>
        <v>305</v>
      </c>
      <c r="E230" s="4">
        <v>86</v>
      </c>
      <c r="F230" s="4">
        <v>100</v>
      </c>
      <c r="G230" s="4">
        <f>63+35</f>
        <v>98</v>
      </c>
      <c r="H230" s="4">
        <f>62-23-30+12</f>
        <v>21</v>
      </c>
    </row>
    <row r="231" spans="1:8" ht="15.75" hidden="1" customHeight="1" outlineLevel="2">
      <c r="B231" s="155" t="s">
        <v>52</v>
      </c>
      <c r="C231" s="8" t="s">
        <v>10</v>
      </c>
      <c r="D231" s="3">
        <v>25</v>
      </c>
      <c r="E231" s="4"/>
      <c r="F231" s="4"/>
      <c r="G231" s="4">
        <v>6</v>
      </c>
      <c r="H231" s="4">
        <f>7+6+6</f>
        <v>19</v>
      </c>
    </row>
    <row r="232" spans="1:8" ht="15.75" hidden="1" customHeight="1" outlineLevel="2">
      <c r="B232" s="155" t="s">
        <v>52</v>
      </c>
      <c r="C232" s="8" t="s">
        <v>11</v>
      </c>
      <c r="D232" s="3">
        <v>87</v>
      </c>
      <c r="E232" s="4"/>
      <c r="F232" s="4"/>
      <c r="G232" s="4">
        <v>21</v>
      </c>
      <c r="H232" s="4">
        <f>22+22+22</f>
        <v>66</v>
      </c>
    </row>
    <row r="233" spans="1:8" ht="15.75" hidden="1" customHeight="1" outlineLevel="2">
      <c r="B233" s="155" t="s">
        <v>52</v>
      </c>
      <c r="C233" s="8" t="s">
        <v>12</v>
      </c>
      <c r="D233" s="3"/>
      <c r="E233" s="4"/>
      <c r="F233" s="4"/>
      <c r="G233" s="4"/>
      <c r="H233" s="4"/>
    </row>
    <row r="234" spans="1:8" ht="15.75" hidden="1" customHeight="1" outlineLevel="2">
      <c r="B234" s="155" t="s">
        <v>52</v>
      </c>
      <c r="C234" s="8" t="s">
        <v>13</v>
      </c>
      <c r="D234" s="3">
        <f>38-7</f>
        <v>31</v>
      </c>
      <c r="E234" s="4">
        <v>2</v>
      </c>
      <c r="F234" s="4">
        <v>3</v>
      </c>
      <c r="G234" s="4">
        <v>10</v>
      </c>
      <c r="H234" s="4">
        <f>8+8</f>
        <v>16</v>
      </c>
    </row>
    <row r="235" spans="1:8" ht="15.75" hidden="1" customHeight="1" outlineLevel="2">
      <c r="B235" s="155" t="s">
        <v>52</v>
      </c>
      <c r="C235" s="8" t="s">
        <v>14</v>
      </c>
      <c r="D235" s="3">
        <f>66-33</f>
        <v>33</v>
      </c>
      <c r="E235" s="4"/>
      <c r="F235" s="4"/>
      <c r="G235" s="4">
        <v>17</v>
      </c>
      <c r="H235" s="4">
        <f>15+17-16</f>
        <v>16</v>
      </c>
    </row>
    <row r="236" spans="1:8" ht="15.75" hidden="1" customHeight="1" outlineLevel="2">
      <c r="B236" s="155" t="s">
        <v>52</v>
      </c>
      <c r="C236" s="8" t="s">
        <v>15</v>
      </c>
      <c r="D236" s="3">
        <f>195-4+40</f>
        <v>231</v>
      </c>
      <c r="E236" s="4">
        <v>61</v>
      </c>
      <c r="F236" s="4">
        <v>89</v>
      </c>
      <c r="G236" s="4">
        <v>49</v>
      </c>
      <c r="H236" s="4">
        <f>49-17</f>
        <v>32</v>
      </c>
    </row>
    <row r="237" spans="1:8" ht="15.75" hidden="1" customHeight="1" outlineLevel="2">
      <c r="B237" s="155" t="s">
        <v>52</v>
      </c>
      <c r="C237" s="8" t="s">
        <v>16</v>
      </c>
      <c r="D237" s="3"/>
      <c r="E237" s="4"/>
      <c r="F237" s="4"/>
      <c r="G237" s="4"/>
      <c r="H237" s="4"/>
    </row>
    <row r="238" spans="1:8" ht="15.75" hidden="1" customHeight="1" outlineLevel="2">
      <c r="B238" s="155" t="s">
        <v>52</v>
      </c>
      <c r="C238" s="8" t="s">
        <v>17</v>
      </c>
      <c r="D238" s="3">
        <f>65+4+50</f>
        <v>119</v>
      </c>
      <c r="E238" s="4">
        <v>37</v>
      </c>
      <c r="F238" s="4">
        <v>38</v>
      </c>
      <c r="G238" s="4">
        <f>16+25</f>
        <v>41</v>
      </c>
      <c r="H238" s="4">
        <f>17-17+3</f>
        <v>3</v>
      </c>
    </row>
    <row r="239" spans="1:8" ht="15.75" hidden="1" customHeight="1" outlineLevel="2">
      <c r="B239" s="155" t="s">
        <v>52</v>
      </c>
      <c r="C239" s="8" t="s">
        <v>18</v>
      </c>
      <c r="D239" s="3"/>
      <c r="E239" s="4"/>
      <c r="F239" s="4"/>
      <c r="G239" s="4"/>
      <c r="H239" s="4"/>
    </row>
    <row r="240" spans="1:8" ht="15.75" hidden="1" customHeight="1" outlineLevel="2">
      <c r="B240" s="155" t="s">
        <v>52</v>
      </c>
      <c r="C240" s="8" t="s">
        <v>19</v>
      </c>
      <c r="D240" s="3"/>
      <c r="E240" s="4"/>
      <c r="F240" s="4"/>
      <c r="G240" s="4"/>
      <c r="H240" s="4"/>
    </row>
    <row r="241" spans="1:8" ht="15.75" hidden="1" customHeight="1" outlineLevel="2">
      <c r="B241" s="155" t="s">
        <v>52</v>
      </c>
      <c r="C241" s="8" t="s">
        <v>20</v>
      </c>
      <c r="D241" s="3">
        <f>40+40</f>
        <v>80</v>
      </c>
      <c r="E241" s="4">
        <v>6</v>
      </c>
      <c r="F241" s="4"/>
      <c r="G241" s="4">
        <f>10+20</f>
        <v>30</v>
      </c>
      <c r="H241" s="4">
        <f>10+4+20+10</f>
        <v>44</v>
      </c>
    </row>
    <row r="242" spans="1:8" ht="15.75" hidden="1" customHeight="1" outlineLevel="2">
      <c r="B242" s="155" t="s">
        <v>52</v>
      </c>
      <c r="C242" s="8" t="s">
        <v>21</v>
      </c>
      <c r="D242" s="3"/>
      <c r="E242" s="4"/>
      <c r="F242" s="4"/>
      <c r="G242" s="4"/>
      <c r="H242" s="4"/>
    </row>
    <row r="243" spans="1:8" ht="15.75" hidden="1" customHeight="1" outlineLevel="2">
      <c r="B243" s="155" t="s">
        <v>52</v>
      </c>
      <c r="C243" s="8" t="s">
        <v>22</v>
      </c>
      <c r="D243" s="3"/>
      <c r="E243" s="4"/>
      <c r="F243" s="4"/>
      <c r="G243" s="4"/>
      <c r="H243" s="4"/>
    </row>
    <row r="244" spans="1:8" ht="15.75" customHeight="1" outlineLevel="1" collapsed="1">
      <c r="A244" s="151">
        <v>1</v>
      </c>
      <c r="B244" s="150" t="s">
        <v>53</v>
      </c>
      <c r="C244" s="9">
        <f t="shared" ref="C244:D244" si="15">SUBTOTAL(9,C230:C243)</f>
        <v>0</v>
      </c>
      <c r="D244" s="3">
        <f t="shared" si="15"/>
        <v>911</v>
      </c>
      <c r="E244" s="157">
        <f>SUBTOTAL(9,E230:E243)</f>
        <v>192</v>
      </c>
      <c r="F244" s="157">
        <f>SUBTOTAL(9,F230:F243)</f>
        <v>230</v>
      </c>
      <c r="G244" s="157">
        <f>SUBTOTAL(9,G230:G243)</f>
        <v>272</v>
      </c>
      <c r="H244" s="157">
        <f>SUBTOTAL(9,H230:H243)</f>
        <v>217</v>
      </c>
    </row>
    <row r="245" spans="1:8" ht="15.75" hidden="1" customHeight="1" outlineLevel="2">
      <c r="B245" s="155" t="s">
        <v>54</v>
      </c>
      <c r="C245" s="8" t="s">
        <v>9</v>
      </c>
      <c r="D245" s="3"/>
      <c r="E245" s="4"/>
      <c r="F245" s="4"/>
      <c r="G245" s="4"/>
      <c r="H245" s="4"/>
    </row>
    <row r="246" spans="1:8" ht="15.75" hidden="1" customHeight="1" outlineLevel="2">
      <c r="B246" s="155" t="s">
        <v>54</v>
      </c>
      <c r="C246" s="8" t="s">
        <v>10</v>
      </c>
      <c r="D246" s="3"/>
      <c r="E246" s="4"/>
      <c r="F246" s="4"/>
      <c r="G246" s="4"/>
      <c r="H246" s="4"/>
    </row>
    <row r="247" spans="1:8" ht="15.75" hidden="1" customHeight="1" outlineLevel="2">
      <c r="B247" s="155" t="s">
        <v>54</v>
      </c>
      <c r="C247" s="8" t="s">
        <v>11</v>
      </c>
      <c r="D247" s="3"/>
      <c r="E247" s="4"/>
      <c r="F247" s="4"/>
      <c r="G247" s="4"/>
      <c r="H247" s="4"/>
    </row>
    <row r="248" spans="1:8" ht="15.75" hidden="1" customHeight="1" outlineLevel="2">
      <c r="B248" s="155" t="s">
        <v>54</v>
      </c>
      <c r="C248" s="8" t="s">
        <v>12</v>
      </c>
      <c r="D248" s="3"/>
      <c r="E248" s="4"/>
      <c r="F248" s="4"/>
      <c r="G248" s="4"/>
      <c r="H248" s="4"/>
    </row>
    <row r="249" spans="1:8" ht="15.75" hidden="1" customHeight="1" outlineLevel="2">
      <c r="B249" s="155" t="s">
        <v>54</v>
      </c>
      <c r="C249" s="8" t="s">
        <v>13</v>
      </c>
      <c r="D249" s="3"/>
      <c r="E249" s="4"/>
      <c r="F249" s="4"/>
      <c r="G249" s="4"/>
      <c r="H249" s="4"/>
    </row>
    <row r="250" spans="1:8" ht="15.75" hidden="1" customHeight="1" outlineLevel="2">
      <c r="B250" s="155" t="s">
        <v>54</v>
      </c>
      <c r="C250" s="8" t="s">
        <v>14</v>
      </c>
      <c r="D250" s="3"/>
      <c r="E250" s="4"/>
      <c r="F250" s="4"/>
      <c r="G250" s="4"/>
      <c r="H250" s="4"/>
    </row>
    <row r="251" spans="1:8" ht="15.75" hidden="1" customHeight="1" outlineLevel="2">
      <c r="B251" s="155" t="s">
        <v>54</v>
      </c>
      <c r="C251" s="8" t="s">
        <v>15</v>
      </c>
      <c r="D251" s="3"/>
      <c r="E251" s="4"/>
      <c r="F251" s="4"/>
      <c r="G251" s="4"/>
      <c r="H251" s="4"/>
    </row>
    <row r="252" spans="1:8" ht="15.75" hidden="1" customHeight="1" outlineLevel="2">
      <c r="B252" s="155" t="s">
        <v>54</v>
      </c>
      <c r="C252" s="8" t="s">
        <v>16</v>
      </c>
      <c r="D252" s="3"/>
      <c r="E252" s="4"/>
      <c r="F252" s="4"/>
      <c r="G252" s="4"/>
      <c r="H252" s="4"/>
    </row>
    <row r="253" spans="1:8" ht="15.75" hidden="1" customHeight="1" outlineLevel="2">
      <c r="B253" s="155" t="s">
        <v>54</v>
      </c>
      <c r="C253" s="8" t="s">
        <v>17</v>
      </c>
      <c r="D253" s="3">
        <v>250</v>
      </c>
      <c r="E253" s="4"/>
      <c r="F253" s="4"/>
      <c r="G253" s="4">
        <v>63</v>
      </c>
      <c r="H253" s="4">
        <f>62+63+62</f>
        <v>187</v>
      </c>
    </row>
    <row r="254" spans="1:8" ht="15.75" hidden="1" customHeight="1" outlineLevel="2">
      <c r="B254" s="155" t="s">
        <v>54</v>
      </c>
      <c r="C254" s="8" t="s">
        <v>18</v>
      </c>
      <c r="D254" s="3"/>
      <c r="E254" s="4"/>
      <c r="F254" s="4"/>
      <c r="G254" s="4"/>
      <c r="H254" s="4"/>
    </row>
    <row r="255" spans="1:8" ht="15.75" hidden="1" customHeight="1" outlineLevel="2">
      <c r="B255" s="155" t="s">
        <v>54</v>
      </c>
      <c r="C255" s="8" t="s">
        <v>19</v>
      </c>
      <c r="D255" s="3"/>
      <c r="E255" s="4"/>
      <c r="F255" s="4"/>
      <c r="G255" s="4"/>
      <c r="H255" s="4"/>
    </row>
    <row r="256" spans="1:8" ht="15.75" hidden="1" customHeight="1" outlineLevel="2">
      <c r="B256" s="155" t="s">
        <v>54</v>
      </c>
      <c r="C256" s="8" t="s">
        <v>20</v>
      </c>
      <c r="D256" s="3">
        <f>318-20</f>
        <v>298</v>
      </c>
      <c r="E256" s="4"/>
      <c r="F256" s="4"/>
      <c r="G256" s="4">
        <v>79</v>
      </c>
      <c r="H256" s="4">
        <f>80+79+60</f>
        <v>219</v>
      </c>
    </row>
    <row r="257" spans="1:8" ht="15.75" hidden="1" customHeight="1" outlineLevel="2">
      <c r="B257" s="155" t="s">
        <v>54</v>
      </c>
      <c r="C257" s="8" t="s">
        <v>21</v>
      </c>
      <c r="D257" s="3"/>
      <c r="E257" s="4"/>
      <c r="F257" s="4"/>
      <c r="G257" s="4"/>
      <c r="H257" s="4"/>
    </row>
    <row r="258" spans="1:8" ht="15.75" hidden="1" customHeight="1" outlineLevel="2">
      <c r="B258" s="155" t="s">
        <v>54</v>
      </c>
      <c r="C258" s="8" t="s">
        <v>22</v>
      </c>
      <c r="D258" s="3"/>
      <c r="E258" s="4"/>
      <c r="F258" s="4"/>
      <c r="G258" s="4"/>
      <c r="H258" s="4"/>
    </row>
    <row r="259" spans="1:8" ht="15.75" customHeight="1" outlineLevel="1" collapsed="1">
      <c r="A259" s="151">
        <v>1</v>
      </c>
      <c r="B259" s="150" t="s">
        <v>55</v>
      </c>
      <c r="C259" s="8">
        <f t="shared" ref="C259:D259" si="16">SUBTOTAL(9,C245:C258)</f>
        <v>0</v>
      </c>
      <c r="D259" s="3">
        <f t="shared" si="16"/>
        <v>548</v>
      </c>
      <c r="E259" s="157">
        <f>SUBTOTAL(9,E245:E258)</f>
        <v>0</v>
      </c>
      <c r="F259" s="157">
        <f>SUBTOTAL(9,F245:F258)</f>
        <v>0</v>
      </c>
      <c r="G259" s="157">
        <f>SUBTOTAL(9,G245:G258)</f>
        <v>142</v>
      </c>
      <c r="H259" s="157">
        <f>SUBTOTAL(9,H245:H258)</f>
        <v>406</v>
      </c>
    </row>
    <row r="260" spans="1:8" ht="15.75" hidden="1" customHeight="1" outlineLevel="2">
      <c r="B260" s="155" t="s">
        <v>56</v>
      </c>
      <c r="C260" s="8" t="s">
        <v>9</v>
      </c>
      <c r="D260" s="3">
        <f>224-172</f>
        <v>52</v>
      </c>
      <c r="E260" s="4"/>
      <c r="F260" s="4"/>
      <c r="G260" s="4">
        <f>56-45</f>
        <v>11</v>
      </c>
      <c r="H260" s="4">
        <f>56-27+12</f>
        <v>41</v>
      </c>
    </row>
    <row r="261" spans="1:8" ht="15.75" hidden="1" customHeight="1" outlineLevel="2">
      <c r="B261" s="155" t="s">
        <v>56</v>
      </c>
      <c r="C261" s="8" t="s">
        <v>10</v>
      </c>
      <c r="D261" s="3"/>
      <c r="E261" s="4"/>
      <c r="F261" s="4"/>
      <c r="G261" s="4"/>
      <c r="H261" s="4"/>
    </row>
    <row r="262" spans="1:8" ht="15.75" hidden="1" customHeight="1" outlineLevel="2">
      <c r="B262" s="155" t="s">
        <v>56</v>
      </c>
      <c r="C262" s="8" t="s">
        <v>11</v>
      </c>
      <c r="D262" s="3"/>
      <c r="E262" s="4"/>
      <c r="F262" s="4"/>
      <c r="G262" s="4"/>
      <c r="H262" s="4"/>
    </row>
    <row r="263" spans="1:8" ht="15.75" hidden="1" customHeight="1" outlineLevel="2">
      <c r="B263" s="155" t="s">
        <v>56</v>
      </c>
      <c r="C263" s="8" t="s">
        <v>12</v>
      </c>
      <c r="D263" s="3"/>
      <c r="E263" s="4"/>
      <c r="F263" s="4"/>
      <c r="G263" s="4"/>
      <c r="H263" s="4"/>
    </row>
    <row r="264" spans="1:8" ht="15.75" hidden="1" customHeight="1" outlineLevel="2">
      <c r="B264" s="155" t="s">
        <v>56</v>
      </c>
      <c r="C264" s="8" t="s">
        <v>13</v>
      </c>
      <c r="D264" s="3"/>
      <c r="E264" s="4"/>
      <c r="F264" s="4"/>
      <c r="G264" s="4"/>
      <c r="H264" s="4"/>
    </row>
    <row r="265" spans="1:8" ht="15.75" hidden="1" customHeight="1" outlineLevel="2">
      <c r="B265" s="155" t="s">
        <v>56</v>
      </c>
      <c r="C265" s="8" t="s">
        <v>14</v>
      </c>
      <c r="D265" s="3"/>
      <c r="E265" s="4"/>
      <c r="F265" s="4"/>
      <c r="G265" s="4"/>
      <c r="H265" s="4"/>
    </row>
    <row r="266" spans="1:8" ht="15.75" hidden="1" customHeight="1" outlineLevel="2">
      <c r="B266" s="155" t="s">
        <v>56</v>
      </c>
      <c r="C266" s="8" t="s">
        <v>15</v>
      </c>
      <c r="D266" s="3"/>
      <c r="E266" s="4"/>
      <c r="F266" s="4"/>
      <c r="G266" s="4"/>
      <c r="H266" s="4"/>
    </row>
    <row r="267" spans="1:8" ht="15.75" hidden="1" customHeight="1" outlineLevel="2">
      <c r="B267" s="155" t="s">
        <v>56</v>
      </c>
      <c r="C267" s="8" t="s">
        <v>16</v>
      </c>
      <c r="D267" s="3"/>
      <c r="E267" s="4"/>
      <c r="F267" s="4"/>
      <c r="G267" s="4"/>
      <c r="H267" s="4"/>
    </row>
    <row r="268" spans="1:8" ht="15.75" hidden="1" customHeight="1" outlineLevel="2">
      <c r="B268" s="155" t="s">
        <v>56</v>
      </c>
      <c r="C268" s="8" t="s">
        <v>17</v>
      </c>
      <c r="D268" s="3"/>
      <c r="E268" s="4"/>
      <c r="F268" s="4"/>
      <c r="G268" s="4"/>
      <c r="H268" s="4"/>
    </row>
    <row r="269" spans="1:8" ht="15.75" hidden="1" customHeight="1" outlineLevel="2">
      <c r="B269" s="155" t="s">
        <v>56</v>
      </c>
      <c r="C269" s="8" t="s">
        <v>18</v>
      </c>
      <c r="D269" s="3"/>
      <c r="E269" s="4"/>
      <c r="F269" s="4"/>
      <c r="G269" s="4"/>
      <c r="H269" s="4"/>
    </row>
    <row r="270" spans="1:8" ht="15.75" hidden="1" customHeight="1" outlineLevel="2">
      <c r="B270" s="155" t="s">
        <v>56</v>
      </c>
      <c r="C270" s="8" t="s">
        <v>19</v>
      </c>
      <c r="D270" s="3"/>
      <c r="E270" s="4"/>
      <c r="F270" s="4"/>
      <c r="G270" s="4"/>
      <c r="H270" s="4"/>
    </row>
    <row r="271" spans="1:8" ht="15.75" hidden="1" customHeight="1" outlineLevel="2">
      <c r="B271" s="155" t="s">
        <v>56</v>
      </c>
      <c r="C271" s="8" t="s">
        <v>20</v>
      </c>
      <c r="D271" s="3"/>
      <c r="E271" s="4"/>
      <c r="F271" s="4"/>
      <c r="G271" s="4"/>
      <c r="H271" s="4"/>
    </row>
    <row r="272" spans="1:8" ht="15.75" hidden="1" customHeight="1" outlineLevel="2">
      <c r="B272" s="155" t="s">
        <v>56</v>
      </c>
      <c r="C272" s="8" t="s">
        <v>21</v>
      </c>
      <c r="D272" s="3"/>
      <c r="E272" s="4"/>
      <c r="F272" s="4"/>
      <c r="G272" s="4"/>
      <c r="H272" s="4"/>
    </row>
    <row r="273" spans="1:8" ht="15.75" hidden="1" customHeight="1" outlineLevel="2">
      <c r="B273" s="155" t="s">
        <v>56</v>
      </c>
      <c r="C273" s="8" t="s">
        <v>22</v>
      </c>
      <c r="D273" s="3"/>
      <c r="E273" s="4"/>
      <c r="F273" s="4"/>
      <c r="G273" s="4"/>
      <c r="H273" s="4"/>
    </row>
    <row r="274" spans="1:8" ht="15.75" customHeight="1" outlineLevel="1" collapsed="1">
      <c r="A274" s="151">
        <v>1</v>
      </c>
      <c r="B274" s="150" t="s">
        <v>57</v>
      </c>
      <c r="C274" s="8">
        <f t="shared" ref="C274:D274" si="17">SUBTOTAL(9,C260:C273)</f>
        <v>0</v>
      </c>
      <c r="D274" s="3">
        <f t="shared" si="17"/>
        <v>52</v>
      </c>
      <c r="E274" s="157">
        <f>SUBTOTAL(9,E260:E273)</f>
        <v>0</v>
      </c>
      <c r="F274" s="157">
        <f>SUBTOTAL(9,F260:F273)</f>
        <v>0</v>
      </c>
      <c r="G274" s="157">
        <f>SUBTOTAL(9,G260:G273)</f>
        <v>11</v>
      </c>
      <c r="H274" s="157">
        <f>SUBTOTAL(9,H260:H273)</f>
        <v>41</v>
      </c>
    </row>
    <row r="275" spans="1:8" ht="15.75" hidden="1" customHeight="1" outlineLevel="2">
      <c r="B275" s="155" t="s">
        <v>58</v>
      </c>
      <c r="C275" s="8" t="s">
        <v>9</v>
      </c>
      <c r="D275" s="3">
        <f>3481-500</f>
        <v>2981</v>
      </c>
      <c r="E275" s="4"/>
      <c r="F275" s="4"/>
      <c r="G275" s="4">
        <v>870</v>
      </c>
      <c r="H275" s="4">
        <f>871+870-100+470</f>
        <v>2111</v>
      </c>
    </row>
    <row r="276" spans="1:8" ht="15.75" hidden="1" customHeight="1" outlineLevel="2">
      <c r="B276" s="155" t="s">
        <v>58</v>
      </c>
      <c r="C276" s="8" t="s">
        <v>10</v>
      </c>
      <c r="D276" s="3"/>
      <c r="E276" s="4"/>
      <c r="F276" s="4"/>
      <c r="G276" s="4"/>
      <c r="H276" s="4"/>
    </row>
    <row r="277" spans="1:8" ht="15.75" hidden="1" customHeight="1" outlineLevel="2">
      <c r="B277" s="155" t="s">
        <v>58</v>
      </c>
      <c r="C277" s="8" t="s">
        <v>11</v>
      </c>
      <c r="D277" s="3"/>
      <c r="E277" s="4"/>
      <c r="F277" s="4"/>
      <c r="G277" s="4"/>
      <c r="H277" s="4"/>
    </row>
    <row r="278" spans="1:8" ht="15.75" hidden="1" customHeight="1" outlineLevel="2">
      <c r="B278" s="155" t="s">
        <v>58</v>
      </c>
      <c r="C278" s="8" t="s">
        <v>12</v>
      </c>
      <c r="D278" s="3"/>
      <c r="E278" s="4"/>
      <c r="F278" s="4"/>
      <c r="G278" s="4"/>
      <c r="H278" s="4"/>
    </row>
    <row r="279" spans="1:8" ht="15.75" hidden="1" customHeight="1" outlineLevel="2">
      <c r="B279" s="155" t="s">
        <v>58</v>
      </c>
      <c r="C279" s="8" t="s">
        <v>13</v>
      </c>
      <c r="D279" s="3"/>
      <c r="E279" s="4"/>
      <c r="F279" s="4"/>
      <c r="G279" s="4"/>
      <c r="H279" s="4"/>
    </row>
    <row r="280" spans="1:8" ht="15.75" hidden="1" customHeight="1" outlineLevel="2">
      <c r="B280" s="155" t="s">
        <v>58</v>
      </c>
      <c r="C280" s="8" t="s">
        <v>14</v>
      </c>
      <c r="D280" s="3"/>
      <c r="E280" s="4"/>
      <c r="F280" s="4"/>
      <c r="G280" s="4"/>
      <c r="H280" s="4"/>
    </row>
    <row r="281" spans="1:8" ht="15.75" hidden="1" customHeight="1" outlineLevel="2">
      <c r="B281" s="155" t="s">
        <v>58</v>
      </c>
      <c r="C281" s="8" t="s">
        <v>15</v>
      </c>
      <c r="D281" s="3"/>
      <c r="E281" s="4"/>
      <c r="F281" s="4"/>
      <c r="G281" s="4"/>
      <c r="H281" s="4"/>
    </row>
    <row r="282" spans="1:8" ht="15.75" hidden="1" customHeight="1" outlineLevel="2">
      <c r="B282" s="155" t="s">
        <v>58</v>
      </c>
      <c r="C282" s="8" t="s">
        <v>16</v>
      </c>
      <c r="D282" s="3"/>
      <c r="E282" s="4"/>
      <c r="F282" s="4"/>
      <c r="G282" s="4"/>
      <c r="H282" s="4"/>
    </row>
    <row r="283" spans="1:8" ht="15.75" hidden="1" customHeight="1" outlineLevel="2">
      <c r="B283" s="155" t="s">
        <v>58</v>
      </c>
      <c r="C283" s="8" t="s">
        <v>17</v>
      </c>
      <c r="D283" s="3"/>
      <c r="E283" s="4"/>
      <c r="F283" s="4"/>
      <c r="G283" s="4"/>
      <c r="H283" s="4"/>
    </row>
    <row r="284" spans="1:8" ht="15.75" hidden="1" customHeight="1" outlineLevel="2">
      <c r="B284" s="155" t="s">
        <v>58</v>
      </c>
      <c r="C284" s="8" t="s">
        <v>18</v>
      </c>
      <c r="D284" s="3"/>
      <c r="E284" s="4"/>
      <c r="F284" s="4"/>
      <c r="G284" s="4"/>
      <c r="H284" s="4"/>
    </row>
    <row r="285" spans="1:8" ht="15.75" hidden="1" customHeight="1" outlineLevel="2">
      <c r="B285" s="155" t="s">
        <v>58</v>
      </c>
      <c r="C285" s="8" t="s">
        <v>19</v>
      </c>
      <c r="D285" s="3"/>
      <c r="E285" s="4"/>
      <c r="F285" s="4"/>
      <c r="G285" s="4"/>
      <c r="H285" s="4"/>
    </row>
    <row r="286" spans="1:8" ht="15.75" hidden="1" customHeight="1" outlineLevel="2">
      <c r="B286" s="155" t="s">
        <v>58</v>
      </c>
      <c r="C286" s="8" t="s">
        <v>20</v>
      </c>
      <c r="D286" s="3"/>
      <c r="E286" s="4"/>
      <c r="F286" s="4"/>
      <c r="G286" s="4"/>
      <c r="H286" s="4"/>
    </row>
    <row r="287" spans="1:8" ht="15.75" hidden="1" customHeight="1" outlineLevel="2">
      <c r="B287" s="155" t="s">
        <v>58</v>
      </c>
      <c r="C287" s="8" t="s">
        <v>21</v>
      </c>
      <c r="D287" s="3"/>
      <c r="E287" s="4"/>
      <c r="F287" s="4"/>
      <c r="G287" s="4"/>
      <c r="H287" s="4"/>
    </row>
    <row r="288" spans="1:8" ht="15.75" hidden="1" customHeight="1" outlineLevel="2">
      <c r="B288" s="155" t="s">
        <v>58</v>
      </c>
      <c r="C288" s="8" t="s">
        <v>22</v>
      </c>
      <c r="D288" s="3"/>
      <c r="E288" s="4"/>
      <c r="F288" s="4"/>
      <c r="G288" s="4"/>
      <c r="H288" s="4"/>
    </row>
    <row r="289" spans="1:8" ht="15.75" customHeight="1" outlineLevel="1" collapsed="1">
      <c r="A289" s="151">
        <v>1</v>
      </c>
      <c r="B289" s="150" t="s">
        <v>59</v>
      </c>
      <c r="C289" s="8">
        <f t="shared" ref="C289:D289" si="18">SUBTOTAL(9,C275:C288)</f>
        <v>0</v>
      </c>
      <c r="D289" s="3">
        <f t="shared" si="18"/>
        <v>2981</v>
      </c>
      <c r="E289" s="157">
        <f>SUBTOTAL(9,E275:E288)</f>
        <v>0</v>
      </c>
      <c r="F289" s="157">
        <f>SUBTOTAL(9,F275:F288)</f>
        <v>0</v>
      </c>
      <c r="G289" s="157">
        <f>SUBTOTAL(9,G275:G288)</f>
        <v>870</v>
      </c>
      <c r="H289" s="157">
        <f>SUBTOTAL(9,H275:H288)</f>
        <v>2111</v>
      </c>
    </row>
    <row r="290" spans="1:8" ht="15.75" hidden="1" customHeight="1" outlineLevel="2">
      <c r="B290" s="155" t="s">
        <v>60</v>
      </c>
      <c r="C290" s="8" t="s">
        <v>9</v>
      </c>
      <c r="D290" s="3">
        <v>589</v>
      </c>
      <c r="E290" s="4"/>
      <c r="F290" s="4"/>
      <c r="G290" s="4">
        <v>160</v>
      </c>
      <c r="H290" s="4">
        <f>159+160+110</f>
        <v>429</v>
      </c>
    </row>
    <row r="291" spans="1:8" ht="15.75" hidden="1" customHeight="1" outlineLevel="2">
      <c r="B291" s="155" t="s">
        <v>60</v>
      </c>
      <c r="C291" s="8" t="s">
        <v>10</v>
      </c>
      <c r="D291" s="3"/>
      <c r="E291" s="4"/>
      <c r="F291" s="4"/>
      <c r="G291" s="4"/>
      <c r="H291" s="4"/>
    </row>
    <row r="292" spans="1:8" ht="15.75" hidden="1" customHeight="1" outlineLevel="2">
      <c r="B292" s="155" t="s">
        <v>60</v>
      </c>
      <c r="C292" s="8" t="s">
        <v>11</v>
      </c>
      <c r="D292" s="3"/>
      <c r="E292" s="4"/>
      <c r="F292" s="4"/>
      <c r="G292" s="4"/>
      <c r="H292" s="4"/>
    </row>
    <row r="293" spans="1:8" ht="15.75" hidden="1" customHeight="1" outlineLevel="2">
      <c r="B293" s="155" t="s">
        <v>60</v>
      </c>
      <c r="C293" s="8" t="s">
        <v>12</v>
      </c>
      <c r="D293" s="3"/>
      <c r="E293" s="4"/>
      <c r="F293" s="4"/>
      <c r="G293" s="4"/>
      <c r="H293" s="4"/>
    </row>
    <row r="294" spans="1:8" ht="15.75" hidden="1" customHeight="1" outlineLevel="2">
      <c r="B294" s="155" t="s">
        <v>60</v>
      </c>
      <c r="C294" s="8" t="s">
        <v>13</v>
      </c>
      <c r="D294" s="3"/>
      <c r="E294" s="4"/>
      <c r="F294" s="4"/>
      <c r="G294" s="4"/>
      <c r="H294" s="4"/>
    </row>
    <row r="295" spans="1:8" ht="15.75" hidden="1" customHeight="1" outlineLevel="2">
      <c r="B295" s="155" t="s">
        <v>60</v>
      </c>
      <c r="C295" s="8" t="s">
        <v>14</v>
      </c>
      <c r="D295" s="3"/>
      <c r="E295" s="4"/>
      <c r="F295" s="4"/>
      <c r="G295" s="4"/>
      <c r="H295" s="4"/>
    </row>
    <row r="296" spans="1:8" ht="15.75" hidden="1" customHeight="1" outlineLevel="2">
      <c r="B296" s="155" t="s">
        <v>60</v>
      </c>
      <c r="C296" s="8" t="s">
        <v>15</v>
      </c>
      <c r="D296" s="3"/>
      <c r="E296" s="4"/>
      <c r="F296" s="4"/>
      <c r="G296" s="4"/>
      <c r="H296" s="4"/>
    </row>
    <row r="297" spans="1:8" ht="15.75" hidden="1" customHeight="1" outlineLevel="2">
      <c r="B297" s="155" t="s">
        <v>60</v>
      </c>
      <c r="C297" s="8" t="s">
        <v>16</v>
      </c>
      <c r="D297" s="3"/>
      <c r="E297" s="4"/>
      <c r="F297" s="4"/>
      <c r="G297" s="4"/>
      <c r="H297" s="4"/>
    </row>
    <row r="298" spans="1:8" ht="15.75" hidden="1" customHeight="1" outlineLevel="2">
      <c r="B298" s="155" t="s">
        <v>60</v>
      </c>
      <c r="C298" s="8" t="s">
        <v>17</v>
      </c>
      <c r="D298" s="3"/>
      <c r="E298" s="4"/>
      <c r="F298" s="4"/>
      <c r="G298" s="4"/>
      <c r="H298" s="4"/>
    </row>
    <row r="299" spans="1:8" ht="15.75" hidden="1" customHeight="1" outlineLevel="2">
      <c r="B299" s="155" t="s">
        <v>60</v>
      </c>
      <c r="C299" s="8" t="s">
        <v>18</v>
      </c>
      <c r="D299" s="3"/>
      <c r="E299" s="4"/>
      <c r="F299" s="4"/>
      <c r="G299" s="4"/>
      <c r="H299" s="4"/>
    </row>
    <row r="300" spans="1:8" ht="15.75" hidden="1" customHeight="1" outlineLevel="2">
      <c r="B300" s="155" t="s">
        <v>60</v>
      </c>
      <c r="C300" s="8" t="s">
        <v>19</v>
      </c>
      <c r="D300" s="3"/>
      <c r="E300" s="4"/>
      <c r="F300" s="4"/>
      <c r="G300" s="4"/>
      <c r="H300" s="4"/>
    </row>
    <row r="301" spans="1:8" ht="15.75" hidden="1" customHeight="1" outlineLevel="2">
      <c r="B301" s="155" t="s">
        <v>60</v>
      </c>
      <c r="C301" s="8" t="s">
        <v>20</v>
      </c>
      <c r="D301" s="3"/>
      <c r="E301" s="4"/>
      <c r="F301" s="4"/>
      <c r="G301" s="4"/>
      <c r="H301" s="4"/>
    </row>
    <row r="302" spans="1:8" ht="15.75" hidden="1" customHeight="1" outlineLevel="2">
      <c r="B302" s="155" t="s">
        <v>60</v>
      </c>
      <c r="C302" s="8" t="s">
        <v>21</v>
      </c>
      <c r="D302" s="3"/>
      <c r="E302" s="4"/>
      <c r="F302" s="4"/>
      <c r="G302" s="4"/>
      <c r="H302" s="4"/>
    </row>
    <row r="303" spans="1:8" ht="15.75" hidden="1" customHeight="1" outlineLevel="2">
      <c r="B303" s="155" t="s">
        <v>60</v>
      </c>
      <c r="C303" s="8" t="s">
        <v>22</v>
      </c>
      <c r="D303" s="3"/>
      <c r="E303" s="4"/>
      <c r="F303" s="4"/>
      <c r="G303" s="4"/>
      <c r="H303" s="4"/>
    </row>
    <row r="304" spans="1:8" ht="15.75" customHeight="1" outlineLevel="1" collapsed="1">
      <c r="A304" s="151">
        <v>1</v>
      </c>
      <c r="B304" s="150" t="s">
        <v>61</v>
      </c>
      <c r="C304" s="8">
        <f t="shared" ref="C304:D304" si="19">SUBTOTAL(9,C290:C303)</f>
        <v>0</v>
      </c>
      <c r="D304" s="3">
        <f t="shared" si="19"/>
        <v>589</v>
      </c>
      <c r="E304" s="157">
        <f>SUBTOTAL(9,E290:E303)</f>
        <v>0</v>
      </c>
      <c r="F304" s="157">
        <f>SUBTOTAL(9,F290:F303)</f>
        <v>0</v>
      </c>
      <c r="G304" s="157">
        <f>SUBTOTAL(9,G290:G303)</f>
        <v>160</v>
      </c>
      <c r="H304" s="157">
        <f>SUBTOTAL(9,H290:H303)</f>
        <v>429</v>
      </c>
    </row>
    <row r="305" spans="1:8" ht="15.75" hidden="1" customHeight="1" outlineLevel="2">
      <c r="B305" s="155" t="s">
        <v>62</v>
      </c>
      <c r="C305" s="8" t="s">
        <v>9</v>
      </c>
      <c r="D305" s="3">
        <v>648</v>
      </c>
      <c r="E305" s="4"/>
      <c r="F305" s="4"/>
      <c r="G305" s="4">
        <v>237</v>
      </c>
      <c r="H305" s="4">
        <f>237+237-142+79</f>
        <v>411</v>
      </c>
    </row>
    <row r="306" spans="1:8" ht="15.75" hidden="1" customHeight="1" outlineLevel="2">
      <c r="B306" s="155" t="s">
        <v>62</v>
      </c>
      <c r="C306" s="8" t="s">
        <v>10</v>
      </c>
      <c r="D306" s="3"/>
      <c r="E306" s="4"/>
      <c r="F306" s="4"/>
      <c r="G306" s="4"/>
      <c r="H306" s="4"/>
    </row>
    <row r="307" spans="1:8" ht="15.75" hidden="1" customHeight="1" outlineLevel="2">
      <c r="B307" s="155" t="s">
        <v>62</v>
      </c>
      <c r="C307" s="8" t="s">
        <v>11</v>
      </c>
      <c r="D307" s="3"/>
      <c r="E307" s="4"/>
      <c r="F307" s="4"/>
      <c r="G307" s="4"/>
      <c r="H307" s="4"/>
    </row>
    <row r="308" spans="1:8" ht="15.75" hidden="1" customHeight="1" outlineLevel="2">
      <c r="B308" s="155" t="s">
        <v>62</v>
      </c>
      <c r="C308" s="8" t="s">
        <v>12</v>
      </c>
      <c r="D308" s="3"/>
      <c r="E308" s="4"/>
      <c r="F308" s="4"/>
      <c r="G308" s="4"/>
      <c r="H308" s="4"/>
    </row>
    <row r="309" spans="1:8" ht="15.75" hidden="1" customHeight="1" outlineLevel="2">
      <c r="B309" s="155" t="s">
        <v>62</v>
      </c>
      <c r="C309" s="8" t="s">
        <v>13</v>
      </c>
      <c r="D309" s="3"/>
      <c r="E309" s="4"/>
      <c r="F309" s="4"/>
      <c r="G309" s="4"/>
      <c r="H309" s="4"/>
    </row>
    <row r="310" spans="1:8" ht="15.75" hidden="1" customHeight="1" outlineLevel="2">
      <c r="B310" s="155" t="s">
        <v>62</v>
      </c>
      <c r="C310" s="8" t="s">
        <v>14</v>
      </c>
      <c r="D310" s="3"/>
      <c r="E310" s="4"/>
      <c r="F310" s="4"/>
      <c r="G310" s="4"/>
      <c r="H310" s="4"/>
    </row>
    <row r="311" spans="1:8" ht="15.75" hidden="1" customHeight="1" outlineLevel="2">
      <c r="B311" s="155" t="s">
        <v>62</v>
      </c>
      <c r="C311" s="8" t="s">
        <v>15</v>
      </c>
      <c r="D311" s="3"/>
      <c r="E311" s="4"/>
      <c r="F311" s="4"/>
      <c r="G311" s="4"/>
      <c r="H311" s="4"/>
    </row>
    <row r="312" spans="1:8" ht="15.75" hidden="1" customHeight="1" outlineLevel="2">
      <c r="B312" s="155" t="s">
        <v>62</v>
      </c>
      <c r="C312" s="8" t="s">
        <v>16</v>
      </c>
      <c r="D312" s="3"/>
      <c r="E312" s="4"/>
      <c r="F312" s="4"/>
      <c r="G312" s="4"/>
      <c r="H312" s="4"/>
    </row>
    <row r="313" spans="1:8" ht="15.75" hidden="1" customHeight="1" outlineLevel="2">
      <c r="B313" s="155" t="s">
        <v>62</v>
      </c>
      <c r="C313" s="8" t="s">
        <v>17</v>
      </c>
      <c r="D313" s="3"/>
      <c r="E313" s="4"/>
      <c r="F313" s="4"/>
      <c r="G313" s="4"/>
      <c r="H313" s="4"/>
    </row>
    <row r="314" spans="1:8" ht="15.75" hidden="1" customHeight="1" outlineLevel="2">
      <c r="B314" s="155" t="s">
        <v>62</v>
      </c>
      <c r="C314" s="8" t="s">
        <v>18</v>
      </c>
      <c r="D314" s="3"/>
      <c r="E314" s="4"/>
      <c r="F314" s="4"/>
      <c r="G314" s="4"/>
      <c r="H314" s="4"/>
    </row>
    <row r="315" spans="1:8" ht="15.75" hidden="1" customHeight="1" outlineLevel="2">
      <c r="B315" s="155" t="s">
        <v>62</v>
      </c>
      <c r="C315" s="8" t="s">
        <v>19</v>
      </c>
      <c r="D315" s="3"/>
      <c r="E315" s="4"/>
      <c r="F315" s="4"/>
      <c r="G315" s="4"/>
      <c r="H315" s="4"/>
    </row>
    <row r="316" spans="1:8" ht="15.75" hidden="1" customHeight="1" outlineLevel="2">
      <c r="B316" s="155" t="s">
        <v>62</v>
      </c>
      <c r="C316" s="8" t="s">
        <v>20</v>
      </c>
      <c r="D316" s="3"/>
      <c r="E316" s="4"/>
      <c r="F316" s="4"/>
      <c r="G316" s="4"/>
      <c r="H316" s="4"/>
    </row>
    <row r="317" spans="1:8" ht="15.75" hidden="1" customHeight="1" outlineLevel="2">
      <c r="B317" s="155" t="s">
        <v>62</v>
      </c>
      <c r="C317" s="8" t="s">
        <v>21</v>
      </c>
      <c r="D317" s="3"/>
      <c r="E317" s="4"/>
      <c r="F317" s="4"/>
      <c r="G317" s="4"/>
      <c r="H317" s="4"/>
    </row>
    <row r="318" spans="1:8" ht="15.75" hidden="1" customHeight="1" outlineLevel="2">
      <c r="B318" s="155" t="s">
        <v>62</v>
      </c>
      <c r="C318" s="8" t="s">
        <v>22</v>
      </c>
      <c r="D318" s="3"/>
      <c r="E318" s="4"/>
      <c r="F318" s="4"/>
      <c r="G318" s="4"/>
      <c r="H318" s="4"/>
    </row>
    <row r="319" spans="1:8" ht="15.75" customHeight="1" outlineLevel="1" collapsed="1">
      <c r="A319" s="151">
        <v>1</v>
      </c>
      <c r="B319" s="150" t="s">
        <v>63</v>
      </c>
      <c r="C319" s="8">
        <f t="shared" ref="C319:D319" si="20">SUBTOTAL(9,C305:C318)</f>
        <v>0</v>
      </c>
      <c r="D319" s="3">
        <f t="shared" si="20"/>
        <v>648</v>
      </c>
      <c r="E319" s="157">
        <f>SUBTOTAL(9,E305:E318)</f>
        <v>0</v>
      </c>
      <c r="F319" s="157">
        <f>SUBTOTAL(9,F305:F318)</f>
        <v>0</v>
      </c>
      <c r="G319" s="157">
        <f>SUBTOTAL(9,G305:G318)</f>
        <v>237</v>
      </c>
      <c r="H319" s="157">
        <f>SUBTOTAL(9,H305:H318)</f>
        <v>411</v>
      </c>
    </row>
    <row r="320" spans="1:8" ht="15.75" hidden="1" customHeight="1" outlineLevel="2">
      <c r="B320" s="155" t="s">
        <v>64</v>
      </c>
      <c r="C320" s="8" t="s">
        <v>9</v>
      </c>
      <c r="D320" s="3">
        <v>91</v>
      </c>
      <c r="E320" s="4"/>
      <c r="F320" s="4"/>
      <c r="G320" s="4">
        <v>23</v>
      </c>
      <c r="H320" s="4">
        <f>22+23+23</f>
        <v>68</v>
      </c>
    </row>
    <row r="321" spans="1:8" ht="15.75" hidden="1" customHeight="1" outlineLevel="2">
      <c r="B321" s="155" t="s">
        <v>64</v>
      </c>
      <c r="C321" s="8" t="s">
        <v>10</v>
      </c>
      <c r="D321" s="3"/>
      <c r="E321" s="4"/>
      <c r="F321" s="4"/>
      <c r="G321" s="4"/>
      <c r="H321" s="4"/>
    </row>
    <row r="322" spans="1:8" ht="15.75" hidden="1" customHeight="1" outlineLevel="2">
      <c r="B322" s="155" t="s">
        <v>64</v>
      </c>
      <c r="C322" s="8" t="s">
        <v>11</v>
      </c>
      <c r="D322" s="3"/>
      <c r="E322" s="4"/>
      <c r="F322" s="4"/>
      <c r="G322" s="4"/>
      <c r="H322" s="4"/>
    </row>
    <row r="323" spans="1:8" ht="15.75" hidden="1" customHeight="1" outlineLevel="2">
      <c r="B323" s="155" t="s">
        <v>64</v>
      </c>
      <c r="C323" s="8" t="s">
        <v>12</v>
      </c>
      <c r="D323" s="3"/>
      <c r="E323" s="4"/>
      <c r="F323" s="4"/>
      <c r="G323" s="4"/>
      <c r="H323" s="4"/>
    </row>
    <row r="324" spans="1:8" ht="15.75" hidden="1" customHeight="1" outlineLevel="2">
      <c r="B324" s="155" t="s">
        <v>64</v>
      </c>
      <c r="C324" s="8" t="s">
        <v>13</v>
      </c>
      <c r="D324" s="3"/>
      <c r="E324" s="4"/>
      <c r="F324" s="4"/>
      <c r="G324" s="4"/>
      <c r="H324" s="4"/>
    </row>
    <row r="325" spans="1:8" ht="15.75" hidden="1" customHeight="1" outlineLevel="2">
      <c r="B325" s="155" t="s">
        <v>64</v>
      </c>
      <c r="C325" s="8" t="s">
        <v>14</v>
      </c>
      <c r="D325" s="3"/>
      <c r="E325" s="4"/>
      <c r="F325" s="4"/>
      <c r="G325" s="4"/>
      <c r="H325" s="4"/>
    </row>
    <row r="326" spans="1:8" ht="15.75" hidden="1" customHeight="1" outlineLevel="2">
      <c r="B326" s="155" t="s">
        <v>64</v>
      </c>
      <c r="C326" s="8" t="s">
        <v>15</v>
      </c>
      <c r="D326" s="3"/>
      <c r="E326" s="4"/>
      <c r="F326" s="4"/>
      <c r="G326" s="4"/>
      <c r="H326" s="4"/>
    </row>
    <row r="327" spans="1:8" ht="15.75" hidden="1" customHeight="1" outlineLevel="2">
      <c r="B327" s="155" t="s">
        <v>64</v>
      </c>
      <c r="C327" s="8" t="s">
        <v>16</v>
      </c>
      <c r="D327" s="3"/>
      <c r="E327" s="4"/>
      <c r="F327" s="4"/>
      <c r="G327" s="4"/>
      <c r="H327" s="4"/>
    </row>
    <row r="328" spans="1:8" ht="15.75" hidden="1" customHeight="1" outlineLevel="2">
      <c r="B328" s="155" t="s">
        <v>64</v>
      </c>
      <c r="C328" s="8" t="s">
        <v>17</v>
      </c>
      <c r="D328" s="3">
        <v>400</v>
      </c>
      <c r="E328" s="4">
        <v>3</v>
      </c>
      <c r="F328" s="4">
        <v>27</v>
      </c>
      <c r="G328" s="4">
        <v>100</v>
      </c>
      <c r="H328" s="4">
        <f>100+97+73</f>
        <v>270</v>
      </c>
    </row>
    <row r="329" spans="1:8" ht="15.75" hidden="1" customHeight="1" outlineLevel="2">
      <c r="B329" s="155" t="s">
        <v>64</v>
      </c>
      <c r="C329" s="8" t="s">
        <v>18</v>
      </c>
      <c r="D329" s="3"/>
      <c r="E329" s="4"/>
      <c r="F329" s="4"/>
      <c r="G329" s="4"/>
      <c r="H329" s="4"/>
    </row>
    <row r="330" spans="1:8" ht="15.75" hidden="1" customHeight="1" outlineLevel="2">
      <c r="B330" s="155" t="s">
        <v>64</v>
      </c>
      <c r="C330" s="8" t="s">
        <v>19</v>
      </c>
      <c r="D330" s="3"/>
      <c r="E330" s="4"/>
      <c r="F330" s="4"/>
      <c r="G330" s="4"/>
      <c r="H330" s="4"/>
    </row>
    <row r="331" spans="1:8" ht="15.75" hidden="1" customHeight="1" outlineLevel="2">
      <c r="B331" s="155" t="s">
        <v>64</v>
      </c>
      <c r="C331" s="8" t="s">
        <v>20</v>
      </c>
      <c r="D331" s="3"/>
      <c r="E331" s="4"/>
      <c r="F331" s="4"/>
      <c r="G331" s="4"/>
      <c r="H331" s="4"/>
    </row>
    <row r="332" spans="1:8" ht="15.75" hidden="1" customHeight="1" outlineLevel="2">
      <c r="B332" s="155" t="s">
        <v>64</v>
      </c>
      <c r="C332" s="8" t="s">
        <v>21</v>
      </c>
      <c r="D332" s="3"/>
      <c r="E332" s="4"/>
      <c r="F332" s="4"/>
      <c r="G332" s="4"/>
      <c r="H332" s="4"/>
    </row>
    <row r="333" spans="1:8" ht="15.75" hidden="1" customHeight="1" outlineLevel="2">
      <c r="B333" s="155" t="s">
        <v>64</v>
      </c>
      <c r="C333" s="8" t="s">
        <v>22</v>
      </c>
      <c r="D333" s="3"/>
      <c r="E333" s="4"/>
      <c r="F333" s="4"/>
      <c r="G333" s="4"/>
      <c r="H333" s="4"/>
    </row>
    <row r="334" spans="1:8" ht="15.75" customHeight="1" outlineLevel="1" collapsed="1">
      <c r="A334" s="151">
        <v>1</v>
      </c>
      <c r="B334" s="150" t="s">
        <v>65</v>
      </c>
      <c r="C334" s="8">
        <f t="shared" ref="C334:D334" si="21">SUBTOTAL(9,C320:C333)</f>
        <v>0</v>
      </c>
      <c r="D334" s="3">
        <f t="shared" si="21"/>
        <v>491</v>
      </c>
      <c r="E334" s="157">
        <f>SUBTOTAL(9,E320:E333)</f>
        <v>3</v>
      </c>
      <c r="F334" s="157">
        <f>SUBTOTAL(9,F320:F333)</f>
        <v>27</v>
      </c>
      <c r="G334" s="157">
        <f>SUBTOTAL(9,G320:G333)</f>
        <v>123</v>
      </c>
      <c r="H334" s="157">
        <f>SUBTOTAL(9,H320:H333)</f>
        <v>338</v>
      </c>
    </row>
    <row r="335" spans="1:8" ht="15.75" hidden="1" customHeight="1" outlineLevel="2">
      <c r="B335" s="155" t="s">
        <v>66</v>
      </c>
      <c r="C335" s="8" t="s">
        <v>9</v>
      </c>
      <c r="D335" s="3">
        <v>1059</v>
      </c>
      <c r="E335" s="4"/>
      <c r="F335" s="4">
        <v>61</v>
      </c>
      <c r="G335" s="4">
        <v>265</v>
      </c>
      <c r="H335" s="4">
        <f>265+100+368</f>
        <v>733</v>
      </c>
    </row>
    <row r="336" spans="1:8" ht="15.75" hidden="1" customHeight="1" outlineLevel="2">
      <c r="B336" s="155" t="s">
        <v>66</v>
      </c>
      <c r="C336" s="8" t="s">
        <v>10</v>
      </c>
      <c r="D336" s="3"/>
      <c r="E336" s="4"/>
      <c r="F336" s="4"/>
      <c r="G336" s="4"/>
      <c r="H336" s="4"/>
    </row>
    <row r="337" spans="1:8" ht="15.75" hidden="1" customHeight="1" outlineLevel="2">
      <c r="B337" s="155" t="s">
        <v>66</v>
      </c>
      <c r="C337" s="8" t="s">
        <v>11</v>
      </c>
      <c r="D337" s="3"/>
      <c r="E337" s="4"/>
      <c r="F337" s="4"/>
      <c r="G337" s="4"/>
      <c r="H337" s="4"/>
    </row>
    <row r="338" spans="1:8" ht="15.75" hidden="1" customHeight="1" outlineLevel="2">
      <c r="B338" s="155" t="s">
        <v>66</v>
      </c>
      <c r="C338" s="8" t="s">
        <v>12</v>
      </c>
      <c r="D338" s="3"/>
      <c r="E338" s="4"/>
      <c r="F338" s="4"/>
      <c r="G338" s="4"/>
      <c r="H338" s="4"/>
    </row>
    <row r="339" spans="1:8" ht="15.75" hidden="1" customHeight="1" outlineLevel="2">
      <c r="B339" s="155" t="s">
        <v>66</v>
      </c>
      <c r="C339" s="8" t="s">
        <v>13</v>
      </c>
      <c r="D339" s="3"/>
      <c r="E339" s="4"/>
      <c r="F339" s="4"/>
      <c r="G339" s="4"/>
      <c r="H339" s="4"/>
    </row>
    <row r="340" spans="1:8" ht="15.75" hidden="1" customHeight="1" outlineLevel="2">
      <c r="B340" s="155" t="s">
        <v>66</v>
      </c>
      <c r="C340" s="8" t="s">
        <v>14</v>
      </c>
      <c r="D340" s="3"/>
      <c r="E340" s="4"/>
      <c r="F340" s="4"/>
      <c r="G340" s="4"/>
      <c r="H340" s="4"/>
    </row>
    <row r="341" spans="1:8" ht="15.75" hidden="1" customHeight="1" outlineLevel="2">
      <c r="B341" s="155" t="s">
        <v>66</v>
      </c>
      <c r="C341" s="8" t="s">
        <v>15</v>
      </c>
      <c r="D341" s="3"/>
      <c r="E341" s="4"/>
      <c r="F341" s="4"/>
      <c r="G341" s="4"/>
      <c r="H341" s="4"/>
    </row>
    <row r="342" spans="1:8" ht="15.75" hidden="1" customHeight="1" outlineLevel="2">
      <c r="B342" s="155" t="s">
        <v>66</v>
      </c>
      <c r="C342" s="8" t="s">
        <v>16</v>
      </c>
      <c r="D342" s="3"/>
      <c r="E342" s="4"/>
      <c r="F342" s="4"/>
      <c r="G342" s="4"/>
      <c r="H342" s="4"/>
    </row>
    <row r="343" spans="1:8" ht="15.75" hidden="1" customHeight="1" outlineLevel="2">
      <c r="B343" s="155" t="s">
        <v>66</v>
      </c>
      <c r="C343" s="8" t="s">
        <v>17</v>
      </c>
      <c r="D343" s="3"/>
      <c r="E343" s="4"/>
      <c r="F343" s="4"/>
      <c r="G343" s="4"/>
      <c r="H343" s="4"/>
    </row>
    <row r="344" spans="1:8" ht="15.75" hidden="1" customHeight="1" outlineLevel="2">
      <c r="B344" s="155" t="s">
        <v>66</v>
      </c>
      <c r="C344" s="8" t="s">
        <v>18</v>
      </c>
      <c r="D344" s="3"/>
      <c r="E344" s="4"/>
      <c r="F344" s="4"/>
      <c r="G344" s="4"/>
      <c r="H344" s="4"/>
    </row>
    <row r="345" spans="1:8" ht="15.75" hidden="1" customHeight="1" outlineLevel="2">
      <c r="B345" s="155" t="s">
        <v>66</v>
      </c>
      <c r="C345" s="8" t="s">
        <v>19</v>
      </c>
      <c r="D345" s="3"/>
      <c r="E345" s="4"/>
      <c r="F345" s="4"/>
      <c r="G345" s="4"/>
      <c r="H345" s="4"/>
    </row>
    <row r="346" spans="1:8" ht="15.75" hidden="1" customHeight="1" outlineLevel="2">
      <c r="B346" s="155" t="s">
        <v>66</v>
      </c>
      <c r="C346" s="8" t="s">
        <v>20</v>
      </c>
      <c r="D346" s="3"/>
      <c r="E346" s="4"/>
      <c r="F346" s="4"/>
      <c r="G346" s="4"/>
      <c r="H346" s="4"/>
    </row>
    <row r="347" spans="1:8" ht="15.75" hidden="1" customHeight="1" outlineLevel="2">
      <c r="B347" s="155" t="s">
        <v>66</v>
      </c>
      <c r="C347" s="8" t="s">
        <v>21</v>
      </c>
      <c r="D347" s="3"/>
      <c r="E347" s="4"/>
      <c r="F347" s="4"/>
      <c r="G347" s="4"/>
      <c r="H347" s="4"/>
    </row>
    <row r="348" spans="1:8" ht="15.75" hidden="1" customHeight="1" outlineLevel="2">
      <c r="B348" s="155" t="s">
        <v>66</v>
      </c>
      <c r="C348" s="8" t="s">
        <v>22</v>
      </c>
      <c r="D348" s="3"/>
      <c r="E348" s="4"/>
      <c r="F348" s="4"/>
      <c r="G348" s="4"/>
      <c r="H348" s="4"/>
    </row>
    <row r="349" spans="1:8" ht="15.75" customHeight="1" outlineLevel="1" collapsed="1">
      <c r="A349" s="151">
        <v>1</v>
      </c>
      <c r="B349" s="150" t="s">
        <v>67</v>
      </c>
      <c r="C349" s="8">
        <f t="shared" ref="C349:D349" si="22">SUBTOTAL(9,C335:C348)</f>
        <v>0</v>
      </c>
      <c r="D349" s="3">
        <f t="shared" si="22"/>
        <v>1059</v>
      </c>
      <c r="E349" s="157">
        <f>SUBTOTAL(9,E335:E348)</f>
        <v>0</v>
      </c>
      <c r="F349" s="157">
        <f>SUBTOTAL(9,F335:F348)</f>
        <v>61</v>
      </c>
      <c r="G349" s="157">
        <f>SUBTOTAL(9,G335:G348)</f>
        <v>265</v>
      </c>
      <c r="H349" s="157">
        <f>SUBTOTAL(9,H335:H348)</f>
        <v>733</v>
      </c>
    </row>
    <row r="350" spans="1:8" ht="15.75" hidden="1" customHeight="1" outlineLevel="2">
      <c r="B350" s="155" t="s">
        <v>68</v>
      </c>
      <c r="C350" s="8" t="s">
        <v>9</v>
      </c>
      <c r="D350" s="3">
        <f>711-1</f>
        <v>710</v>
      </c>
      <c r="E350" s="4">
        <v>132</v>
      </c>
      <c r="F350" s="4">
        <v>68</v>
      </c>
      <c r="G350" s="4">
        <v>178</v>
      </c>
      <c r="H350" s="4">
        <f>178+154</f>
        <v>332</v>
      </c>
    </row>
    <row r="351" spans="1:8" ht="15.75" hidden="1" customHeight="1" outlineLevel="2">
      <c r="B351" s="155" t="s">
        <v>68</v>
      </c>
      <c r="C351" s="8" t="s">
        <v>10</v>
      </c>
      <c r="D351" s="3">
        <f>8-2</f>
        <v>6</v>
      </c>
      <c r="E351" s="4"/>
      <c r="F351" s="4"/>
      <c r="G351" s="4">
        <v>2</v>
      </c>
      <c r="H351" s="4">
        <f>2+2</f>
        <v>4</v>
      </c>
    </row>
    <row r="352" spans="1:8" ht="15.75" hidden="1" customHeight="1" outlineLevel="2">
      <c r="B352" s="155" t="s">
        <v>68</v>
      </c>
      <c r="C352" s="8" t="s">
        <v>11</v>
      </c>
      <c r="D352" s="3"/>
      <c r="E352" s="4"/>
      <c r="F352" s="4"/>
      <c r="G352" s="4"/>
      <c r="H352" s="4"/>
    </row>
    <row r="353" spans="1:8" ht="15.75" hidden="1" customHeight="1" outlineLevel="2">
      <c r="B353" s="155" t="s">
        <v>68</v>
      </c>
      <c r="C353" s="8" t="s">
        <v>12</v>
      </c>
      <c r="D353" s="3"/>
      <c r="E353" s="4"/>
      <c r="F353" s="4"/>
      <c r="G353" s="4"/>
      <c r="H353" s="4"/>
    </row>
    <row r="354" spans="1:8" ht="15.75" hidden="1" customHeight="1" outlineLevel="2">
      <c r="B354" s="155" t="s">
        <v>68</v>
      </c>
      <c r="C354" s="8" t="s">
        <v>13</v>
      </c>
      <c r="D354" s="3">
        <v>1</v>
      </c>
      <c r="E354" s="4">
        <v>1</v>
      </c>
      <c r="F354" s="4"/>
      <c r="G354" s="4"/>
      <c r="H354" s="4"/>
    </row>
    <row r="355" spans="1:8" ht="15.75" hidden="1" customHeight="1" outlineLevel="2">
      <c r="B355" s="155" t="s">
        <v>68</v>
      </c>
      <c r="C355" s="8" t="s">
        <v>14</v>
      </c>
      <c r="D355" s="3"/>
      <c r="E355" s="4"/>
      <c r="F355" s="4"/>
      <c r="G355" s="4"/>
      <c r="H355" s="4"/>
    </row>
    <row r="356" spans="1:8" ht="15.75" hidden="1" customHeight="1" outlineLevel="2">
      <c r="B356" s="155" t="s">
        <v>68</v>
      </c>
      <c r="C356" s="8" t="s">
        <v>15</v>
      </c>
      <c r="D356" s="3"/>
      <c r="E356" s="4"/>
      <c r="F356" s="4"/>
      <c r="G356" s="4"/>
      <c r="H356" s="4"/>
    </row>
    <row r="357" spans="1:8" ht="15.75" hidden="1" customHeight="1" outlineLevel="2">
      <c r="B357" s="155" t="s">
        <v>68</v>
      </c>
      <c r="C357" s="8" t="s">
        <v>16</v>
      </c>
      <c r="D357" s="3">
        <v>2</v>
      </c>
      <c r="E357" s="4">
        <v>2</v>
      </c>
      <c r="F357" s="4"/>
      <c r="G357" s="4"/>
      <c r="H357" s="4"/>
    </row>
    <row r="358" spans="1:8" ht="15.75" hidden="1" customHeight="1" outlineLevel="2">
      <c r="B358" s="155" t="s">
        <v>68</v>
      </c>
      <c r="C358" s="8" t="s">
        <v>17</v>
      </c>
      <c r="D358" s="3">
        <f>307-1</f>
        <v>306</v>
      </c>
      <c r="E358" s="4">
        <v>101</v>
      </c>
      <c r="F358" s="4">
        <v>52</v>
      </c>
      <c r="G358" s="4">
        <v>76</v>
      </c>
      <c r="H358" s="4">
        <f>78-26+25</f>
        <v>77</v>
      </c>
    </row>
    <row r="359" spans="1:8" ht="15.75" hidden="1" customHeight="1" outlineLevel="2">
      <c r="B359" s="155" t="s">
        <v>68</v>
      </c>
      <c r="C359" s="8" t="s">
        <v>18</v>
      </c>
      <c r="D359" s="3">
        <v>15</v>
      </c>
      <c r="E359" s="4">
        <v>2</v>
      </c>
      <c r="F359" s="4"/>
      <c r="G359" s="4">
        <v>4</v>
      </c>
      <c r="H359" s="4">
        <f>3+6</f>
        <v>9</v>
      </c>
    </row>
    <row r="360" spans="1:8" ht="15.75" hidden="1" customHeight="1" outlineLevel="2">
      <c r="B360" s="155" t="s">
        <v>68</v>
      </c>
      <c r="C360" s="8" t="s">
        <v>19</v>
      </c>
      <c r="D360" s="3"/>
      <c r="E360" s="4"/>
      <c r="F360" s="4"/>
      <c r="G360" s="4"/>
      <c r="H360" s="4"/>
    </row>
    <row r="361" spans="1:8" ht="15.75" hidden="1" customHeight="1" outlineLevel="2">
      <c r="B361" s="155" t="s">
        <v>68</v>
      </c>
      <c r="C361" s="8" t="s">
        <v>20</v>
      </c>
      <c r="D361" s="3">
        <f>19+1</f>
        <v>20</v>
      </c>
      <c r="E361" s="4">
        <v>6</v>
      </c>
      <c r="F361" s="4">
        <v>5</v>
      </c>
      <c r="G361" s="4">
        <v>5</v>
      </c>
      <c r="H361" s="4">
        <f>4</f>
        <v>4</v>
      </c>
    </row>
    <row r="362" spans="1:8" ht="15.75" hidden="1" customHeight="1" outlineLevel="2">
      <c r="B362" s="155" t="s">
        <v>68</v>
      </c>
      <c r="C362" s="8" t="s">
        <v>21</v>
      </c>
      <c r="D362" s="3"/>
      <c r="E362" s="4"/>
      <c r="F362" s="4"/>
      <c r="G362" s="4"/>
      <c r="H362" s="4"/>
    </row>
    <row r="363" spans="1:8" ht="15.75" hidden="1" customHeight="1" outlineLevel="2">
      <c r="B363" s="155" t="s">
        <v>68</v>
      </c>
      <c r="C363" s="8" t="s">
        <v>22</v>
      </c>
      <c r="D363" s="3"/>
      <c r="E363" s="4"/>
      <c r="F363" s="4"/>
      <c r="G363" s="4"/>
      <c r="H363" s="4"/>
    </row>
    <row r="364" spans="1:8" ht="15.75" customHeight="1" outlineLevel="1" collapsed="1">
      <c r="A364" s="151">
        <v>1</v>
      </c>
      <c r="B364" s="150" t="s">
        <v>69</v>
      </c>
      <c r="C364" s="8">
        <f t="shared" ref="C364:D364" si="23">SUBTOTAL(9,C350:C363)</f>
        <v>0</v>
      </c>
      <c r="D364" s="3">
        <f t="shared" si="23"/>
        <v>1060</v>
      </c>
      <c r="E364" s="157">
        <f>SUBTOTAL(9,E350:E363)</f>
        <v>244</v>
      </c>
      <c r="F364" s="157">
        <f>SUBTOTAL(9,F350:F363)</f>
        <v>125</v>
      </c>
      <c r="G364" s="157">
        <f>SUBTOTAL(9,G350:G363)</f>
        <v>265</v>
      </c>
      <c r="H364" s="157">
        <f>SUBTOTAL(9,H350:H363)</f>
        <v>426</v>
      </c>
    </row>
    <row r="365" spans="1:8" ht="15.75" hidden="1" customHeight="1" outlineLevel="2">
      <c r="B365" s="155" t="s">
        <v>70</v>
      </c>
      <c r="C365" s="8" t="s">
        <v>9</v>
      </c>
      <c r="D365" s="3">
        <v>819</v>
      </c>
      <c r="E365" s="4"/>
      <c r="F365" s="4"/>
      <c r="G365" s="4">
        <v>205</v>
      </c>
      <c r="H365" s="4">
        <f>204+205+205</f>
        <v>614</v>
      </c>
    </row>
    <row r="366" spans="1:8" ht="15.75" hidden="1" customHeight="1" outlineLevel="2">
      <c r="B366" s="155" t="s">
        <v>70</v>
      </c>
      <c r="C366" s="8" t="s">
        <v>10</v>
      </c>
      <c r="D366" s="3"/>
      <c r="E366" s="4"/>
      <c r="F366" s="4"/>
      <c r="G366" s="4"/>
      <c r="H366" s="4"/>
    </row>
    <row r="367" spans="1:8" ht="15.75" hidden="1" customHeight="1" outlineLevel="2">
      <c r="B367" s="155" t="s">
        <v>70</v>
      </c>
      <c r="C367" s="8" t="s">
        <v>11</v>
      </c>
      <c r="D367" s="3"/>
      <c r="E367" s="4"/>
      <c r="F367" s="4"/>
      <c r="G367" s="4"/>
      <c r="H367" s="4"/>
    </row>
    <row r="368" spans="1:8" ht="15.75" hidden="1" customHeight="1" outlineLevel="2">
      <c r="B368" s="155" t="s">
        <v>70</v>
      </c>
      <c r="C368" s="8" t="s">
        <v>12</v>
      </c>
      <c r="D368" s="3"/>
      <c r="E368" s="4"/>
      <c r="F368" s="4"/>
      <c r="G368" s="4"/>
      <c r="H368" s="4"/>
    </row>
    <row r="369" spans="1:8" ht="15.75" hidden="1" customHeight="1" outlineLevel="2">
      <c r="B369" s="155" t="s">
        <v>70</v>
      </c>
      <c r="C369" s="8" t="s">
        <v>13</v>
      </c>
      <c r="D369" s="3"/>
      <c r="E369" s="4"/>
      <c r="F369" s="4"/>
      <c r="G369" s="4"/>
      <c r="H369" s="4"/>
    </row>
    <row r="370" spans="1:8" ht="15.75" hidden="1" customHeight="1" outlineLevel="2">
      <c r="B370" s="155" t="s">
        <v>70</v>
      </c>
      <c r="C370" s="8" t="s">
        <v>14</v>
      </c>
      <c r="D370" s="3"/>
      <c r="E370" s="4"/>
      <c r="F370" s="4"/>
      <c r="G370" s="4"/>
      <c r="H370" s="4"/>
    </row>
    <row r="371" spans="1:8" ht="15.75" hidden="1" customHeight="1" outlineLevel="2">
      <c r="B371" s="155" t="s">
        <v>70</v>
      </c>
      <c r="C371" s="8" t="s">
        <v>15</v>
      </c>
      <c r="D371" s="3"/>
      <c r="E371" s="4"/>
      <c r="F371" s="4"/>
      <c r="G371" s="4"/>
      <c r="H371" s="4"/>
    </row>
    <row r="372" spans="1:8" ht="15.75" hidden="1" customHeight="1" outlineLevel="2">
      <c r="B372" s="155" t="s">
        <v>70</v>
      </c>
      <c r="C372" s="8" t="s">
        <v>16</v>
      </c>
      <c r="D372" s="3"/>
      <c r="E372" s="4"/>
      <c r="F372" s="4"/>
      <c r="G372" s="4"/>
      <c r="H372" s="4"/>
    </row>
    <row r="373" spans="1:8" ht="15.75" hidden="1" customHeight="1" outlineLevel="2">
      <c r="B373" s="155" t="s">
        <v>70</v>
      </c>
      <c r="C373" s="8" t="s">
        <v>17</v>
      </c>
      <c r="D373" s="3"/>
      <c r="E373" s="4"/>
      <c r="F373" s="4"/>
      <c r="G373" s="4"/>
      <c r="H373" s="4"/>
    </row>
    <row r="374" spans="1:8" ht="15.75" hidden="1" customHeight="1" outlineLevel="2">
      <c r="B374" s="155" t="s">
        <v>70</v>
      </c>
      <c r="C374" s="8" t="s">
        <v>18</v>
      </c>
      <c r="D374" s="3"/>
      <c r="E374" s="4"/>
      <c r="F374" s="4"/>
      <c r="G374" s="4"/>
      <c r="H374" s="4"/>
    </row>
    <row r="375" spans="1:8" ht="15.75" hidden="1" customHeight="1" outlineLevel="2">
      <c r="B375" s="155" t="s">
        <v>70</v>
      </c>
      <c r="C375" s="8" t="s">
        <v>19</v>
      </c>
      <c r="D375" s="3"/>
      <c r="E375" s="4"/>
      <c r="F375" s="4"/>
      <c r="G375" s="4"/>
      <c r="H375" s="4"/>
    </row>
    <row r="376" spans="1:8" ht="15.75" hidden="1" customHeight="1" outlineLevel="2">
      <c r="B376" s="155" t="s">
        <v>70</v>
      </c>
      <c r="C376" s="8" t="s">
        <v>20</v>
      </c>
      <c r="D376" s="3"/>
      <c r="E376" s="4"/>
      <c r="F376" s="4"/>
      <c r="G376" s="4"/>
      <c r="H376" s="4"/>
    </row>
    <row r="377" spans="1:8" ht="15.75" hidden="1" customHeight="1" outlineLevel="2">
      <c r="B377" s="155" t="s">
        <v>70</v>
      </c>
      <c r="C377" s="8" t="s">
        <v>21</v>
      </c>
      <c r="D377" s="3"/>
      <c r="E377" s="4"/>
      <c r="F377" s="4"/>
      <c r="G377" s="4"/>
      <c r="H377" s="4"/>
    </row>
    <row r="378" spans="1:8" ht="15.75" hidden="1" customHeight="1" outlineLevel="2">
      <c r="B378" s="155" t="s">
        <v>70</v>
      </c>
      <c r="C378" s="8" t="s">
        <v>22</v>
      </c>
      <c r="D378" s="3"/>
      <c r="E378" s="4"/>
      <c r="F378" s="4"/>
      <c r="G378" s="4"/>
      <c r="H378" s="4"/>
    </row>
    <row r="379" spans="1:8" ht="15.75" customHeight="1" outlineLevel="1" collapsed="1">
      <c r="A379" s="151">
        <v>1</v>
      </c>
      <c r="B379" s="150" t="s">
        <v>71</v>
      </c>
      <c r="C379" s="8">
        <f t="shared" ref="C379:D379" si="24">SUBTOTAL(9,C365:C378)</f>
        <v>0</v>
      </c>
      <c r="D379" s="3">
        <f t="shared" si="24"/>
        <v>819</v>
      </c>
      <c r="E379" s="157">
        <f>SUBTOTAL(9,E365:E378)</f>
        <v>0</v>
      </c>
      <c r="F379" s="157">
        <f>SUBTOTAL(9,F365:F378)</f>
        <v>0</v>
      </c>
      <c r="G379" s="157">
        <f>SUBTOTAL(9,G365:G378)</f>
        <v>205</v>
      </c>
      <c r="H379" s="157">
        <f>SUBTOTAL(9,H365:H378)</f>
        <v>614</v>
      </c>
    </row>
    <row r="380" spans="1:8" ht="15.75" hidden="1" customHeight="1" outlineLevel="2">
      <c r="B380" s="155" t="s">
        <v>72</v>
      </c>
      <c r="C380" s="8" t="s">
        <v>9</v>
      </c>
      <c r="D380" s="3">
        <f>2167-23-10-87</f>
        <v>2047</v>
      </c>
      <c r="E380" s="4">
        <v>32</v>
      </c>
      <c r="F380" s="4">
        <v>172</v>
      </c>
      <c r="G380" s="4">
        <v>542</v>
      </c>
      <c r="H380" s="4">
        <f>541+487-10+370-87</f>
        <v>1301</v>
      </c>
    </row>
    <row r="381" spans="1:8" ht="15.75" hidden="1" customHeight="1" outlineLevel="2">
      <c r="B381" s="155" t="s">
        <v>72</v>
      </c>
      <c r="C381" s="8" t="s">
        <v>10</v>
      </c>
      <c r="D381" s="3">
        <f>1</f>
        <v>1</v>
      </c>
      <c r="E381" s="4"/>
      <c r="F381" s="4">
        <v>1</v>
      </c>
      <c r="G381" s="4"/>
      <c r="H381" s="4"/>
    </row>
    <row r="382" spans="1:8" ht="15.75" hidden="1" customHeight="1" outlineLevel="2">
      <c r="B382" s="155" t="s">
        <v>72</v>
      </c>
      <c r="C382" s="8" t="s">
        <v>11</v>
      </c>
      <c r="D382" s="3">
        <f>40</f>
        <v>40</v>
      </c>
      <c r="E382" s="4"/>
      <c r="F382" s="4">
        <v>40</v>
      </c>
      <c r="G382" s="4"/>
      <c r="H382" s="4"/>
    </row>
    <row r="383" spans="1:8" ht="15.75" hidden="1" customHeight="1" outlineLevel="2">
      <c r="B383" s="155" t="s">
        <v>72</v>
      </c>
      <c r="C383" s="8" t="s">
        <v>12</v>
      </c>
      <c r="D383" s="3"/>
      <c r="E383" s="4"/>
      <c r="F383" s="4"/>
      <c r="G383" s="4"/>
      <c r="H383" s="4"/>
    </row>
    <row r="384" spans="1:8" ht="15.75" hidden="1" customHeight="1" outlineLevel="2">
      <c r="B384" s="155" t="s">
        <v>72</v>
      </c>
      <c r="C384" s="8" t="s">
        <v>13</v>
      </c>
      <c r="D384" s="3">
        <v>5</v>
      </c>
      <c r="E384" s="4">
        <v>2</v>
      </c>
      <c r="F384" s="4">
        <v>1</v>
      </c>
      <c r="G384" s="4"/>
      <c r="H384" s="4">
        <f>2</f>
        <v>2</v>
      </c>
    </row>
    <row r="385" spans="1:8" ht="15.75" hidden="1" customHeight="1" outlineLevel="2">
      <c r="B385" s="155" t="s">
        <v>72</v>
      </c>
      <c r="C385" s="8" t="s">
        <v>14</v>
      </c>
      <c r="D385" s="3">
        <f>4</f>
        <v>4</v>
      </c>
      <c r="E385" s="4"/>
      <c r="F385" s="4">
        <v>4</v>
      </c>
      <c r="G385" s="4"/>
      <c r="H385" s="4"/>
    </row>
    <row r="386" spans="1:8" ht="15.75" hidden="1" customHeight="1" outlineLevel="2">
      <c r="B386" s="155" t="s">
        <v>72</v>
      </c>
      <c r="C386" s="8" t="s">
        <v>15</v>
      </c>
      <c r="D386" s="3"/>
      <c r="E386" s="4"/>
      <c r="F386" s="4"/>
      <c r="G386" s="4"/>
      <c r="H386" s="4"/>
    </row>
    <row r="387" spans="1:8" ht="15.75" hidden="1" customHeight="1" outlineLevel="2">
      <c r="B387" s="155" t="s">
        <v>72</v>
      </c>
      <c r="C387" s="8" t="s">
        <v>16</v>
      </c>
      <c r="D387" s="3"/>
      <c r="E387" s="4"/>
      <c r="F387" s="4"/>
      <c r="G387" s="4"/>
      <c r="H387" s="4"/>
    </row>
    <row r="388" spans="1:8" ht="15.75" hidden="1" customHeight="1" outlineLevel="2">
      <c r="B388" s="155" t="s">
        <v>72</v>
      </c>
      <c r="C388" s="8" t="s">
        <v>17</v>
      </c>
      <c r="D388" s="3">
        <f>11+42</f>
        <v>53</v>
      </c>
      <c r="E388" s="4">
        <v>11</v>
      </c>
      <c r="F388" s="4">
        <v>42</v>
      </c>
      <c r="G388" s="4"/>
      <c r="H388" s="4"/>
    </row>
    <row r="389" spans="1:8" ht="15.75" hidden="1" customHeight="1" outlineLevel="2">
      <c r="B389" s="155" t="s">
        <v>72</v>
      </c>
      <c r="C389" s="8" t="s">
        <v>18</v>
      </c>
      <c r="D389" s="3"/>
      <c r="E389" s="4"/>
      <c r="F389" s="4"/>
      <c r="G389" s="4"/>
      <c r="H389" s="4"/>
    </row>
    <row r="390" spans="1:8" ht="15.75" hidden="1" customHeight="1" outlineLevel="2">
      <c r="B390" s="155" t="s">
        <v>72</v>
      </c>
      <c r="C390" s="8" t="s">
        <v>19</v>
      </c>
      <c r="D390" s="3"/>
      <c r="E390" s="4"/>
      <c r="F390" s="4"/>
      <c r="G390" s="4"/>
      <c r="H390" s="4"/>
    </row>
    <row r="391" spans="1:8" ht="15.75" hidden="1" customHeight="1" outlineLevel="2">
      <c r="B391" s="155" t="s">
        <v>72</v>
      </c>
      <c r="C391" s="8" t="s">
        <v>20</v>
      </c>
      <c r="D391" s="3">
        <f>7+10</f>
        <v>17</v>
      </c>
      <c r="E391" s="4">
        <v>7</v>
      </c>
      <c r="F391" s="4">
        <v>4</v>
      </c>
      <c r="G391" s="4"/>
      <c r="H391" s="4">
        <f>6</f>
        <v>6</v>
      </c>
    </row>
    <row r="392" spans="1:8" ht="15.75" hidden="1" customHeight="1" outlineLevel="2">
      <c r="B392" s="155" t="s">
        <v>72</v>
      </c>
      <c r="C392" s="8" t="s">
        <v>21</v>
      </c>
      <c r="D392" s="3"/>
      <c r="E392" s="4"/>
      <c r="F392" s="4"/>
      <c r="G392" s="4"/>
      <c r="H392" s="4"/>
    </row>
    <row r="393" spans="1:8" ht="15.75" hidden="1" customHeight="1" outlineLevel="2">
      <c r="B393" s="155" t="s">
        <v>72</v>
      </c>
      <c r="C393" s="8" t="s">
        <v>22</v>
      </c>
      <c r="D393" s="3"/>
      <c r="E393" s="4"/>
      <c r="F393" s="4"/>
      <c r="G393" s="4"/>
      <c r="H393" s="4"/>
    </row>
    <row r="394" spans="1:8" ht="15.75" customHeight="1" outlineLevel="1" collapsed="1">
      <c r="A394" s="151">
        <v>1</v>
      </c>
      <c r="B394" s="150" t="s">
        <v>73</v>
      </c>
      <c r="C394" s="8">
        <f t="shared" ref="C394:D394" si="25">SUBTOTAL(9,C380:C393)</f>
        <v>0</v>
      </c>
      <c r="D394" s="3">
        <f t="shared" si="25"/>
        <v>2167</v>
      </c>
      <c r="E394" s="157">
        <f>SUBTOTAL(9,E380:E393)</f>
        <v>52</v>
      </c>
      <c r="F394" s="157">
        <f>SUBTOTAL(9,F380:F393)</f>
        <v>264</v>
      </c>
      <c r="G394" s="157">
        <f>SUBTOTAL(9,G380:G393)</f>
        <v>542</v>
      </c>
      <c r="H394" s="157">
        <f>SUBTOTAL(9,H380:H393)</f>
        <v>1309</v>
      </c>
    </row>
    <row r="395" spans="1:8" ht="15.75" hidden="1" customHeight="1" outlineLevel="2">
      <c r="B395" s="155" t="s">
        <v>74</v>
      </c>
      <c r="C395" s="8" t="s">
        <v>9</v>
      </c>
      <c r="D395" s="3">
        <f>4854-912-799-66</f>
        <v>3077</v>
      </c>
      <c r="E395" s="4">
        <f>405+44</f>
        <v>449</v>
      </c>
      <c r="F395" s="4">
        <v>415</v>
      </c>
      <c r="G395" s="4">
        <f>1214-147</f>
        <v>1067</v>
      </c>
      <c r="H395" s="4">
        <f>1212-66</f>
        <v>1146</v>
      </c>
    </row>
    <row r="396" spans="1:8" ht="15.75" hidden="1" customHeight="1" outlineLevel="2">
      <c r="B396" s="155" t="s">
        <v>74</v>
      </c>
      <c r="C396" s="8" t="s">
        <v>10</v>
      </c>
      <c r="D396" s="3"/>
      <c r="E396" s="4"/>
      <c r="F396" s="4"/>
      <c r="G396" s="4"/>
      <c r="H396" s="4"/>
    </row>
    <row r="397" spans="1:8" ht="15.75" hidden="1" customHeight="1" outlineLevel="2">
      <c r="B397" s="155" t="s">
        <v>74</v>
      </c>
      <c r="C397" s="8" t="s">
        <v>11</v>
      </c>
      <c r="D397" s="3">
        <f>221+218</f>
        <v>439</v>
      </c>
      <c r="E397" s="4">
        <f>198+23</f>
        <v>221</v>
      </c>
      <c r="F397" s="4">
        <v>218</v>
      </c>
      <c r="G397" s="4"/>
      <c r="H397" s="4"/>
    </row>
    <row r="398" spans="1:8" ht="15.75" hidden="1" customHeight="1" outlineLevel="2">
      <c r="B398" s="155" t="s">
        <v>74</v>
      </c>
      <c r="C398" s="8" t="s">
        <v>12</v>
      </c>
      <c r="D398" s="3">
        <f>2+3</f>
        <v>5</v>
      </c>
      <c r="E398" s="4">
        <f>1+1</f>
        <v>2</v>
      </c>
      <c r="F398" s="4">
        <v>3</v>
      </c>
      <c r="G398" s="4"/>
      <c r="H398" s="4"/>
    </row>
    <row r="399" spans="1:8" ht="15.75" hidden="1" customHeight="1" outlineLevel="2">
      <c r="B399" s="155" t="s">
        <v>74</v>
      </c>
      <c r="C399" s="8" t="s">
        <v>13</v>
      </c>
      <c r="D399" s="3">
        <f>2+8</f>
        <v>10</v>
      </c>
      <c r="E399" s="4">
        <f>1+1</f>
        <v>2</v>
      </c>
      <c r="F399" s="4">
        <v>8</v>
      </c>
      <c r="G399" s="4"/>
      <c r="H399" s="4"/>
    </row>
    <row r="400" spans="1:8" ht="15.75" hidden="1" customHeight="1" outlineLevel="2">
      <c r="B400" s="155" t="s">
        <v>74</v>
      </c>
      <c r="C400" s="8" t="s">
        <v>14</v>
      </c>
      <c r="D400" s="3">
        <f>1+1</f>
        <v>2</v>
      </c>
      <c r="E400" s="4">
        <v>1</v>
      </c>
      <c r="F400" s="4">
        <v>1</v>
      </c>
      <c r="G400" s="4"/>
      <c r="H400" s="4"/>
    </row>
    <row r="401" spans="1:8" ht="15.75" hidden="1" customHeight="1" outlineLevel="2">
      <c r="B401" s="155" t="s">
        <v>74</v>
      </c>
      <c r="C401" s="8" t="s">
        <v>15</v>
      </c>
      <c r="D401" s="3">
        <f>259+230</f>
        <v>489</v>
      </c>
      <c r="E401" s="4">
        <f>231+28</f>
        <v>259</v>
      </c>
      <c r="F401" s="4">
        <v>230</v>
      </c>
      <c r="G401" s="4"/>
      <c r="H401" s="4"/>
    </row>
    <row r="402" spans="1:8" ht="15.75" hidden="1" customHeight="1" outlineLevel="2">
      <c r="B402" s="155" t="s">
        <v>74</v>
      </c>
      <c r="C402" s="8" t="s">
        <v>16</v>
      </c>
      <c r="D402" s="3"/>
      <c r="E402" s="4"/>
      <c r="F402" s="4"/>
      <c r="G402" s="4"/>
      <c r="H402" s="4"/>
    </row>
    <row r="403" spans="1:8" ht="15.75" hidden="1" customHeight="1" outlineLevel="2">
      <c r="B403" s="155" t="s">
        <v>74</v>
      </c>
      <c r="C403" s="8" t="s">
        <v>17</v>
      </c>
      <c r="D403" s="3">
        <f>400+363</f>
        <v>763</v>
      </c>
      <c r="E403" s="4">
        <f>352+48</f>
        <v>400</v>
      </c>
      <c r="F403" s="4">
        <v>363</v>
      </c>
      <c r="G403" s="4"/>
      <c r="H403" s="4"/>
    </row>
    <row r="404" spans="1:8" ht="15.75" hidden="1" customHeight="1" outlineLevel="2">
      <c r="B404" s="155" t="s">
        <v>74</v>
      </c>
      <c r="C404" s="8" t="s">
        <v>18</v>
      </c>
      <c r="D404" s="3">
        <f>2</f>
        <v>2</v>
      </c>
      <c r="E404" s="4">
        <v>2</v>
      </c>
      <c r="F404" s="4"/>
      <c r="G404" s="4"/>
      <c r="H404" s="4"/>
    </row>
    <row r="405" spans="1:8" ht="15.75" hidden="1" customHeight="1" outlineLevel="2">
      <c r="B405" s="155" t="s">
        <v>74</v>
      </c>
      <c r="C405" s="8" t="s">
        <v>19</v>
      </c>
      <c r="D405" s="3"/>
      <c r="E405" s="4"/>
      <c r="F405" s="4"/>
      <c r="G405" s="4"/>
      <c r="H405" s="4"/>
    </row>
    <row r="406" spans="1:8" ht="15.75" hidden="1" customHeight="1" outlineLevel="2">
      <c r="B406" s="155" t="s">
        <v>74</v>
      </c>
      <c r="C406" s="8" t="s">
        <v>20</v>
      </c>
      <c r="D406" s="3">
        <f>25+42</f>
        <v>67</v>
      </c>
      <c r="E406" s="4">
        <f>23+2</f>
        <v>25</v>
      </c>
      <c r="F406" s="4">
        <v>42</v>
      </c>
      <c r="G406" s="4"/>
      <c r="H406" s="4"/>
    </row>
    <row r="407" spans="1:8" ht="15.75" hidden="1" customHeight="1" outlineLevel="2">
      <c r="B407" s="155" t="s">
        <v>74</v>
      </c>
      <c r="C407" s="8" t="s">
        <v>21</v>
      </c>
      <c r="D407" s="3"/>
      <c r="E407" s="4"/>
      <c r="F407" s="4"/>
      <c r="G407" s="4"/>
      <c r="H407" s="4"/>
    </row>
    <row r="408" spans="1:8" ht="15.75" hidden="1" customHeight="1" outlineLevel="2">
      <c r="B408" s="155" t="s">
        <v>74</v>
      </c>
      <c r="C408" s="8" t="s">
        <v>22</v>
      </c>
      <c r="D408" s="3"/>
      <c r="E408" s="4"/>
      <c r="F408" s="4"/>
      <c r="G408" s="4"/>
      <c r="H408" s="4"/>
    </row>
    <row r="409" spans="1:8" ht="15.75" customHeight="1" outlineLevel="1" collapsed="1">
      <c r="A409" s="151">
        <v>1</v>
      </c>
      <c r="B409" s="150" t="s">
        <v>75</v>
      </c>
      <c r="C409" s="8">
        <f t="shared" ref="C409:D409" si="26">SUBTOTAL(9,C395:C408)</f>
        <v>0</v>
      </c>
      <c r="D409" s="3">
        <f t="shared" si="26"/>
        <v>4854</v>
      </c>
      <c r="E409" s="157">
        <f>SUBTOTAL(9,E395:E408)</f>
        <v>1361</v>
      </c>
      <c r="F409" s="157">
        <f>SUBTOTAL(9,F395:F408)</f>
        <v>1280</v>
      </c>
      <c r="G409" s="157">
        <f>SUBTOTAL(9,G395:G408)</f>
        <v>1067</v>
      </c>
      <c r="H409" s="157">
        <f>SUBTOTAL(9,H395:H408)</f>
        <v>1146</v>
      </c>
    </row>
    <row r="410" spans="1:8" ht="15.75" hidden="1" customHeight="1" outlineLevel="2">
      <c r="B410" s="155" t="s">
        <v>76</v>
      </c>
      <c r="C410" s="8" t="s">
        <v>9</v>
      </c>
      <c r="D410" s="3">
        <f>1000+6</f>
        <v>1006</v>
      </c>
      <c r="E410" s="4">
        <v>225</v>
      </c>
      <c r="F410" s="4">
        <v>256</v>
      </c>
      <c r="G410" s="4">
        <v>249</v>
      </c>
      <c r="H410" s="4">
        <f>252+24</f>
        <v>276</v>
      </c>
    </row>
    <row r="411" spans="1:8" ht="15.75" hidden="1" customHeight="1" outlineLevel="2">
      <c r="B411" s="155" t="s">
        <v>76</v>
      </c>
      <c r="C411" s="8" t="s">
        <v>10</v>
      </c>
      <c r="D411" s="3">
        <f>10-3</f>
        <v>7</v>
      </c>
      <c r="E411" s="4"/>
      <c r="F411" s="4"/>
      <c r="G411" s="4">
        <v>3</v>
      </c>
      <c r="H411" s="4">
        <f>1+3</f>
        <v>4</v>
      </c>
    </row>
    <row r="412" spans="1:8" ht="15.75" hidden="1" customHeight="1" outlineLevel="2">
      <c r="B412" s="155" t="s">
        <v>76</v>
      </c>
      <c r="C412" s="8" t="s">
        <v>11</v>
      </c>
      <c r="D412" s="3">
        <f>10+34+3+56-15+85</f>
        <v>173</v>
      </c>
      <c r="E412" s="4">
        <v>81</v>
      </c>
      <c r="F412" s="4">
        <v>88</v>
      </c>
      <c r="G412" s="4">
        <f>3</f>
        <v>3</v>
      </c>
      <c r="H412" s="4">
        <f>1</f>
        <v>1</v>
      </c>
    </row>
    <row r="413" spans="1:8" ht="15.75" hidden="1" customHeight="1" outlineLevel="2">
      <c r="B413" s="155" t="s">
        <v>76</v>
      </c>
      <c r="C413" s="8" t="s">
        <v>12</v>
      </c>
      <c r="D413" s="3">
        <f>242-56</f>
        <v>186</v>
      </c>
      <c r="E413" s="4">
        <v>5</v>
      </c>
      <c r="F413" s="4">
        <v>7</v>
      </c>
      <c r="G413" s="4">
        <v>60</v>
      </c>
      <c r="H413" s="4">
        <f>61+53</f>
        <v>114</v>
      </c>
    </row>
    <row r="414" spans="1:8" ht="15.75" hidden="1" customHeight="1" outlineLevel="2">
      <c r="B414" s="155" t="s">
        <v>76</v>
      </c>
      <c r="C414" s="8" t="s">
        <v>13</v>
      </c>
      <c r="D414" s="3">
        <f t="shared" ref="D414:D415" si="27">10-3</f>
        <v>7</v>
      </c>
      <c r="E414" s="4"/>
      <c r="F414" s="4"/>
      <c r="G414" s="4">
        <v>3</v>
      </c>
      <c r="H414" s="4">
        <f>1+3</f>
        <v>4</v>
      </c>
    </row>
    <row r="415" spans="1:8" ht="15.75" hidden="1" customHeight="1" outlineLevel="2">
      <c r="B415" s="155" t="s">
        <v>76</v>
      </c>
      <c r="C415" s="8" t="s">
        <v>14</v>
      </c>
      <c r="D415" s="3">
        <f t="shared" si="27"/>
        <v>7</v>
      </c>
      <c r="E415" s="4"/>
      <c r="F415" s="4"/>
      <c r="G415" s="4">
        <v>3</v>
      </c>
      <c r="H415" s="4">
        <f>1+3</f>
        <v>4</v>
      </c>
    </row>
    <row r="416" spans="1:8" ht="15.75" hidden="1" customHeight="1" outlineLevel="2">
      <c r="B416" s="155" t="s">
        <v>76</v>
      </c>
      <c r="C416" s="8" t="s">
        <v>15</v>
      </c>
      <c r="D416" s="3">
        <f>10+9+84+15+142</f>
        <v>260</v>
      </c>
      <c r="E416" s="4">
        <v>96</v>
      </c>
      <c r="F416" s="4">
        <v>145</v>
      </c>
      <c r="G416" s="4">
        <v>3</v>
      </c>
      <c r="H416" s="4">
        <f>1+15</f>
        <v>16</v>
      </c>
    </row>
    <row r="417" spans="1:8" ht="15.75" hidden="1" customHeight="1" outlineLevel="2">
      <c r="B417" s="155" t="s">
        <v>76</v>
      </c>
      <c r="C417" s="8" t="s">
        <v>16</v>
      </c>
      <c r="D417" s="3">
        <f>10-3</f>
        <v>7</v>
      </c>
      <c r="E417" s="4"/>
      <c r="F417" s="4"/>
      <c r="G417" s="4">
        <v>3</v>
      </c>
      <c r="H417" s="4">
        <f>1+3</f>
        <v>4</v>
      </c>
    </row>
    <row r="418" spans="1:8" ht="15.75" hidden="1" customHeight="1" outlineLevel="2">
      <c r="B418" s="155" t="s">
        <v>76</v>
      </c>
      <c r="C418" s="8" t="s">
        <v>17</v>
      </c>
      <c r="D418" s="3">
        <f>600+35</f>
        <v>635</v>
      </c>
      <c r="E418" s="4">
        <v>127</v>
      </c>
      <c r="F418" s="4">
        <v>184</v>
      </c>
      <c r="G418" s="4">
        <v>149</v>
      </c>
      <c r="H418" s="4">
        <f>153+22</f>
        <v>175</v>
      </c>
    </row>
    <row r="419" spans="1:8" ht="15.75" hidden="1" customHeight="1" outlineLevel="2">
      <c r="B419" s="155" t="s">
        <v>76</v>
      </c>
      <c r="C419" s="8" t="s">
        <v>18</v>
      </c>
      <c r="D419" s="3"/>
      <c r="E419" s="4"/>
      <c r="F419" s="4"/>
      <c r="G419" s="4"/>
      <c r="H419" s="4"/>
    </row>
    <row r="420" spans="1:8" ht="15.75" hidden="1" customHeight="1" outlineLevel="2">
      <c r="B420" s="155" t="s">
        <v>76</v>
      </c>
      <c r="C420" s="8" t="s">
        <v>19</v>
      </c>
      <c r="D420" s="3"/>
      <c r="E420" s="4"/>
      <c r="F420" s="4"/>
      <c r="G420" s="4"/>
      <c r="H420" s="4"/>
    </row>
    <row r="421" spans="1:8" ht="15.75" hidden="1" customHeight="1" outlineLevel="2">
      <c r="B421" s="155" t="s">
        <v>76</v>
      </c>
      <c r="C421" s="8" t="s">
        <v>20</v>
      </c>
      <c r="D421" s="3">
        <f>1000-84-268</f>
        <v>648</v>
      </c>
      <c r="E421" s="4">
        <v>87</v>
      </c>
      <c r="F421" s="4"/>
      <c r="G421" s="4">
        <v>250</v>
      </c>
      <c r="H421" s="4">
        <f>251+78+250-6-262</f>
        <v>311</v>
      </c>
    </row>
    <row r="422" spans="1:8" ht="15.75" hidden="1" customHeight="1" outlineLevel="2">
      <c r="B422" s="155" t="s">
        <v>76</v>
      </c>
      <c r="C422" s="8" t="s">
        <v>21</v>
      </c>
      <c r="D422" s="3"/>
      <c r="E422" s="4"/>
      <c r="F422" s="4"/>
      <c r="G422" s="4"/>
      <c r="H422" s="4"/>
    </row>
    <row r="423" spans="1:8" ht="15.75" hidden="1" customHeight="1" outlineLevel="2">
      <c r="B423" s="155" t="s">
        <v>76</v>
      </c>
      <c r="C423" s="8" t="s">
        <v>22</v>
      </c>
      <c r="D423" s="3">
        <f>320-34</f>
        <v>286</v>
      </c>
      <c r="E423" s="4">
        <v>46</v>
      </c>
      <c r="F423" s="4">
        <v>60</v>
      </c>
      <c r="G423" s="4">
        <v>80</v>
      </c>
      <c r="H423" s="4">
        <f>81+19</f>
        <v>100</v>
      </c>
    </row>
    <row r="424" spans="1:8" ht="15.75" customHeight="1" outlineLevel="1" collapsed="1">
      <c r="A424" s="151">
        <v>1</v>
      </c>
      <c r="B424" s="150" t="s">
        <v>77</v>
      </c>
      <c r="C424" s="8">
        <f t="shared" ref="C424:D424" si="28">SUBTOTAL(9,C410:C423)</f>
        <v>0</v>
      </c>
      <c r="D424" s="3">
        <f t="shared" si="28"/>
        <v>3222</v>
      </c>
      <c r="E424" s="157">
        <f>SUBTOTAL(9,E410:E423)</f>
        <v>667</v>
      </c>
      <c r="F424" s="157">
        <f>SUBTOTAL(9,F410:F423)</f>
        <v>740</v>
      </c>
      <c r="G424" s="157">
        <f>SUBTOTAL(9,G410:G423)</f>
        <v>806</v>
      </c>
      <c r="H424" s="157">
        <f>SUBTOTAL(9,H410:H423)</f>
        <v>1009</v>
      </c>
    </row>
    <row r="425" spans="1:8" ht="15.75" hidden="1" customHeight="1" outlineLevel="2">
      <c r="B425" s="155" t="s">
        <v>78</v>
      </c>
      <c r="C425" s="8" t="s">
        <v>9</v>
      </c>
      <c r="D425" s="3">
        <v>2526</v>
      </c>
      <c r="E425" s="4">
        <v>479</v>
      </c>
      <c r="F425" s="4">
        <v>659</v>
      </c>
      <c r="G425" s="4">
        <v>632</v>
      </c>
      <c r="H425" s="4">
        <f>630+152-200+174</f>
        <v>756</v>
      </c>
    </row>
    <row r="426" spans="1:8" ht="15.75" hidden="1" customHeight="1" outlineLevel="2">
      <c r="B426" s="155" t="s">
        <v>78</v>
      </c>
      <c r="C426" s="8" t="s">
        <v>10</v>
      </c>
      <c r="D426" s="3">
        <v>64</v>
      </c>
      <c r="E426" s="4">
        <v>11</v>
      </c>
      <c r="F426" s="4">
        <v>12</v>
      </c>
      <c r="G426" s="4">
        <v>16</v>
      </c>
      <c r="H426" s="4">
        <f>16+5+4</f>
        <v>25</v>
      </c>
    </row>
    <row r="427" spans="1:8" ht="15.75" hidden="1" customHeight="1" outlineLevel="2">
      <c r="B427" s="155" t="s">
        <v>78</v>
      </c>
      <c r="C427" s="8" t="s">
        <v>11</v>
      </c>
      <c r="D427" s="3">
        <v>1284</v>
      </c>
      <c r="E427" s="4">
        <v>233</v>
      </c>
      <c r="F427" s="4">
        <v>299</v>
      </c>
      <c r="G427" s="4">
        <v>321</v>
      </c>
      <c r="H427" s="4">
        <f>321+87+23</f>
        <v>431</v>
      </c>
    </row>
    <row r="428" spans="1:8" ht="15.75" hidden="1" customHeight="1" outlineLevel="2">
      <c r="B428" s="155" t="s">
        <v>78</v>
      </c>
      <c r="C428" s="8" t="s">
        <v>12</v>
      </c>
      <c r="D428" s="3"/>
      <c r="E428" s="4"/>
      <c r="F428" s="4"/>
      <c r="G428" s="4"/>
      <c r="H428" s="4"/>
    </row>
    <row r="429" spans="1:8" ht="15.75" hidden="1" customHeight="1" outlineLevel="2">
      <c r="B429" s="155" t="s">
        <v>78</v>
      </c>
      <c r="C429" s="8" t="s">
        <v>13</v>
      </c>
      <c r="D429" s="3"/>
      <c r="E429" s="4"/>
      <c r="F429" s="4"/>
      <c r="G429" s="4"/>
      <c r="H429" s="4"/>
    </row>
    <row r="430" spans="1:8" ht="15.75" hidden="1" customHeight="1" outlineLevel="2">
      <c r="B430" s="155" t="s">
        <v>78</v>
      </c>
      <c r="C430" s="8" t="s">
        <v>14</v>
      </c>
      <c r="D430" s="3"/>
      <c r="E430" s="4"/>
      <c r="F430" s="4"/>
      <c r="G430" s="4"/>
      <c r="H430" s="4"/>
    </row>
    <row r="431" spans="1:8" ht="15.75" hidden="1" customHeight="1" outlineLevel="2">
      <c r="B431" s="155" t="s">
        <v>78</v>
      </c>
      <c r="C431" s="8" t="s">
        <v>15</v>
      </c>
      <c r="D431" s="3">
        <f>1284-7</f>
        <v>1277</v>
      </c>
      <c r="E431" s="4">
        <v>233</v>
      </c>
      <c r="F431" s="4">
        <v>294</v>
      </c>
      <c r="G431" s="4">
        <v>321</v>
      </c>
      <c r="H431" s="4">
        <f>322+85+29-7</f>
        <v>429</v>
      </c>
    </row>
    <row r="432" spans="1:8" ht="15.75" hidden="1" customHeight="1" outlineLevel="2">
      <c r="B432" s="155" t="s">
        <v>78</v>
      </c>
      <c r="C432" s="8" t="s">
        <v>16</v>
      </c>
      <c r="D432" s="3">
        <v>64</v>
      </c>
      <c r="E432" s="4">
        <v>12</v>
      </c>
      <c r="F432" s="4">
        <v>13</v>
      </c>
      <c r="G432" s="4">
        <v>16</v>
      </c>
      <c r="H432" s="4">
        <f>16+4+3</f>
        <v>23</v>
      </c>
    </row>
    <row r="433" spans="1:8" ht="15.75" hidden="1" customHeight="1" outlineLevel="2">
      <c r="B433" s="155" t="s">
        <v>78</v>
      </c>
      <c r="C433" s="8" t="s">
        <v>17</v>
      </c>
      <c r="D433" s="3">
        <f>856+5</f>
        <v>861</v>
      </c>
      <c r="E433" s="4">
        <v>196</v>
      </c>
      <c r="F433" s="4">
        <v>244</v>
      </c>
      <c r="G433" s="4">
        <v>213</v>
      </c>
      <c r="H433" s="4">
        <f>215+18-25</f>
        <v>208</v>
      </c>
    </row>
    <row r="434" spans="1:8" ht="15.75" hidden="1" customHeight="1" outlineLevel="2">
      <c r="B434" s="155" t="s">
        <v>78</v>
      </c>
      <c r="C434" s="8" t="s">
        <v>18</v>
      </c>
      <c r="D434" s="3">
        <f>643+2</f>
        <v>645</v>
      </c>
      <c r="E434" s="4">
        <v>144</v>
      </c>
      <c r="F434" s="4">
        <v>186</v>
      </c>
      <c r="G434" s="4">
        <v>161</v>
      </c>
      <c r="H434" s="4">
        <f>161+17-24</f>
        <v>154</v>
      </c>
    </row>
    <row r="435" spans="1:8" ht="15.75" hidden="1" customHeight="1" outlineLevel="2">
      <c r="B435" s="155" t="s">
        <v>78</v>
      </c>
      <c r="C435" s="8" t="s">
        <v>19</v>
      </c>
      <c r="D435" s="3"/>
      <c r="E435" s="4"/>
      <c r="F435" s="4"/>
      <c r="G435" s="4"/>
      <c r="H435" s="4"/>
    </row>
    <row r="436" spans="1:8" ht="15.75" hidden="1" customHeight="1" outlineLevel="2">
      <c r="B436" s="155" t="s">
        <v>78</v>
      </c>
      <c r="C436" s="8" t="s">
        <v>20</v>
      </c>
      <c r="D436" s="3"/>
      <c r="E436" s="4"/>
      <c r="F436" s="4"/>
      <c r="G436" s="4"/>
      <c r="H436" s="4"/>
    </row>
    <row r="437" spans="1:8" ht="15.75" hidden="1" customHeight="1" outlineLevel="2">
      <c r="B437" s="155" t="s">
        <v>78</v>
      </c>
      <c r="C437" s="8" t="s">
        <v>21</v>
      </c>
      <c r="D437" s="3"/>
      <c r="E437" s="4"/>
      <c r="F437" s="4"/>
      <c r="G437" s="4"/>
      <c r="H437" s="4"/>
    </row>
    <row r="438" spans="1:8" ht="15.75" hidden="1" customHeight="1" outlineLevel="2">
      <c r="B438" s="155" t="s">
        <v>78</v>
      </c>
      <c r="C438" s="8" t="s">
        <v>22</v>
      </c>
      <c r="D438" s="3"/>
      <c r="E438" s="4"/>
      <c r="F438" s="4"/>
      <c r="G438" s="4"/>
      <c r="H438" s="4"/>
    </row>
    <row r="439" spans="1:8" ht="15.75" customHeight="1" outlineLevel="1" collapsed="1">
      <c r="A439" s="151">
        <v>1</v>
      </c>
      <c r="B439" s="150" t="s">
        <v>79</v>
      </c>
      <c r="C439" s="8">
        <f t="shared" ref="C439:D439" si="29">SUBTOTAL(9,C425:C438)</f>
        <v>0</v>
      </c>
      <c r="D439" s="3">
        <f t="shared" si="29"/>
        <v>6721</v>
      </c>
      <c r="E439" s="157">
        <f>SUBTOTAL(9,E425:E438)</f>
        <v>1308</v>
      </c>
      <c r="F439" s="157">
        <f>SUBTOTAL(9,F425:F438)</f>
        <v>1707</v>
      </c>
      <c r="G439" s="157">
        <f>SUBTOTAL(9,G425:G438)</f>
        <v>1680</v>
      </c>
      <c r="H439" s="157">
        <f>SUBTOTAL(9,H425:H438)</f>
        <v>2026</v>
      </c>
    </row>
    <row r="440" spans="1:8" ht="15.75" hidden="1" customHeight="1" outlineLevel="2">
      <c r="B440" s="155" t="s">
        <v>80</v>
      </c>
      <c r="C440" s="8" t="s">
        <v>9</v>
      </c>
      <c r="D440" s="3">
        <f>3500-144-102</f>
        <v>3254</v>
      </c>
      <c r="E440" s="4">
        <v>409</v>
      </c>
      <c r="F440" s="4">
        <v>418</v>
      </c>
      <c r="G440" s="4">
        <v>875</v>
      </c>
      <c r="H440" s="4">
        <f>875+466-144+355</f>
        <v>1552</v>
      </c>
    </row>
    <row r="441" spans="1:8" ht="15.75" hidden="1" customHeight="1" outlineLevel="2">
      <c r="B441" s="155" t="s">
        <v>80</v>
      </c>
      <c r="C441" s="8" t="s">
        <v>10</v>
      </c>
      <c r="D441" s="3">
        <v>3</v>
      </c>
      <c r="E441" s="4"/>
      <c r="F441" s="4">
        <v>1</v>
      </c>
      <c r="G441" s="4">
        <v>1</v>
      </c>
      <c r="H441" s="4">
        <f>0+1</f>
        <v>1</v>
      </c>
    </row>
    <row r="442" spans="1:8" ht="15.75" hidden="1" customHeight="1" outlineLevel="2">
      <c r="B442" s="155" t="s">
        <v>80</v>
      </c>
      <c r="C442" s="8" t="s">
        <v>11</v>
      </c>
      <c r="D442" s="3">
        <f>5-1</f>
        <v>4</v>
      </c>
      <c r="E442" s="4">
        <v>1</v>
      </c>
      <c r="F442" s="4"/>
      <c r="G442" s="4">
        <v>1</v>
      </c>
      <c r="H442" s="4">
        <v>2</v>
      </c>
    </row>
    <row r="443" spans="1:8" ht="15.75" hidden="1" customHeight="1" outlineLevel="2">
      <c r="B443" s="155" t="s">
        <v>80</v>
      </c>
      <c r="C443" s="8" t="s">
        <v>12</v>
      </c>
      <c r="D443" s="3">
        <f>2</f>
        <v>2</v>
      </c>
      <c r="E443" s="4"/>
      <c r="F443" s="4">
        <v>2</v>
      </c>
      <c r="G443" s="4"/>
      <c r="H443" s="4"/>
    </row>
    <row r="444" spans="1:8" ht="15.75" hidden="1" customHeight="1" outlineLevel="2">
      <c r="B444" s="155" t="s">
        <v>80</v>
      </c>
      <c r="C444" s="8" t="s">
        <v>13</v>
      </c>
      <c r="D444" s="3">
        <f>2+3</f>
        <v>5</v>
      </c>
      <c r="E444" s="4">
        <v>2</v>
      </c>
      <c r="F444" s="4">
        <v>3</v>
      </c>
      <c r="G444" s="4"/>
      <c r="H444" s="4"/>
    </row>
    <row r="445" spans="1:8" ht="15.75" hidden="1" customHeight="1" outlineLevel="2">
      <c r="B445" s="155" t="s">
        <v>80</v>
      </c>
      <c r="C445" s="8" t="s">
        <v>14</v>
      </c>
      <c r="D445" s="3">
        <f>480-2-41-112</f>
        <v>325</v>
      </c>
      <c r="E445" s="4"/>
      <c r="F445" s="4">
        <v>2</v>
      </c>
      <c r="G445" s="4">
        <v>120</v>
      </c>
      <c r="H445" s="4">
        <f>120+118-35</f>
        <v>203</v>
      </c>
    </row>
    <row r="446" spans="1:8" ht="15.75" hidden="1" customHeight="1" outlineLevel="2">
      <c r="B446" s="155" t="s">
        <v>80</v>
      </c>
      <c r="C446" s="8" t="s">
        <v>15</v>
      </c>
      <c r="D446" s="3">
        <f>35+112</f>
        <v>147</v>
      </c>
      <c r="E446" s="4">
        <v>35</v>
      </c>
      <c r="F446" s="4">
        <v>112</v>
      </c>
      <c r="G446" s="4"/>
      <c r="H446" s="4"/>
    </row>
    <row r="447" spans="1:8" ht="15.75" hidden="1" customHeight="1" outlineLevel="2">
      <c r="B447" s="155" t="s">
        <v>80</v>
      </c>
      <c r="C447" s="8" t="s">
        <v>16</v>
      </c>
      <c r="D447" s="3">
        <f>6+2</f>
        <v>8</v>
      </c>
      <c r="E447" s="4">
        <v>6</v>
      </c>
      <c r="F447" s="4">
        <v>2</v>
      </c>
      <c r="G447" s="4"/>
      <c r="H447" s="4"/>
    </row>
    <row r="448" spans="1:8" ht="15.75" hidden="1" customHeight="1" outlineLevel="2">
      <c r="B448" s="155" t="s">
        <v>80</v>
      </c>
      <c r="C448" s="8" t="s">
        <v>17</v>
      </c>
      <c r="D448" s="3">
        <f>1557-4</f>
        <v>1553</v>
      </c>
      <c r="E448" s="4">
        <v>141</v>
      </c>
      <c r="F448" s="4">
        <v>172</v>
      </c>
      <c r="G448" s="4">
        <v>389</v>
      </c>
      <c r="H448" s="4">
        <f>390+248+223-7-3</f>
        <v>851</v>
      </c>
    </row>
    <row r="449" spans="1:8" ht="15.75" hidden="1" customHeight="1" outlineLevel="2">
      <c r="B449" s="155" t="s">
        <v>80</v>
      </c>
      <c r="C449" s="8" t="s">
        <v>18</v>
      </c>
      <c r="D449" s="3">
        <f>20-2</f>
        <v>18</v>
      </c>
      <c r="E449" s="4"/>
      <c r="F449" s="4">
        <v>3</v>
      </c>
      <c r="G449" s="4">
        <v>5</v>
      </c>
      <c r="H449" s="4">
        <f>5+5</f>
        <v>10</v>
      </c>
    </row>
    <row r="450" spans="1:8" ht="15.75" hidden="1" customHeight="1" outlineLevel="2">
      <c r="B450" s="155" t="s">
        <v>80</v>
      </c>
      <c r="C450" s="8" t="s">
        <v>19</v>
      </c>
      <c r="D450" s="3"/>
      <c r="E450" s="4"/>
      <c r="F450" s="4"/>
      <c r="G450" s="4"/>
      <c r="H450" s="4"/>
    </row>
    <row r="451" spans="1:8" ht="15.75" hidden="1" customHeight="1" outlineLevel="2">
      <c r="B451" s="155" t="s">
        <v>80</v>
      </c>
      <c r="C451" s="8" t="s">
        <v>20</v>
      </c>
      <c r="D451" s="3">
        <f>6+144+102</f>
        <v>252</v>
      </c>
      <c r="E451" s="4">
        <v>146</v>
      </c>
      <c r="F451" s="4">
        <v>104</v>
      </c>
      <c r="G451" s="4">
        <v>2</v>
      </c>
      <c r="H451" s="4">
        <v>0</v>
      </c>
    </row>
    <row r="452" spans="1:8" ht="15.75" hidden="1" customHeight="1" outlineLevel="2">
      <c r="B452" s="155" t="s">
        <v>80</v>
      </c>
      <c r="C452" s="8" t="s">
        <v>21</v>
      </c>
      <c r="D452" s="3"/>
      <c r="E452" s="4"/>
      <c r="F452" s="4"/>
      <c r="G452" s="4"/>
      <c r="H452" s="4"/>
    </row>
    <row r="453" spans="1:8" ht="15.75" hidden="1" customHeight="1" outlineLevel="2">
      <c r="B453" s="155" t="s">
        <v>80</v>
      </c>
      <c r="C453" s="8" t="s">
        <v>22</v>
      </c>
      <c r="D453" s="3"/>
      <c r="E453" s="4"/>
      <c r="F453" s="4"/>
      <c r="G453" s="4"/>
      <c r="H453" s="4"/>
    </row>
    <row r="454" spans="1:8" ht="15.75" customHeight="1" outlineLevel="1" collapsed="1">
      <c r="A454" s="151">
        <v>1</v>
      </c>
      <c r="B454" s="150" t="s">
        <v>81</v>
      </c>
      <c r="C454" s="8">
        <f t="shared" ref="C454:D454" si="30">SUBTOTAL(9,C440:C453)</f>
        <v>0</v>
      </c>
      <c r="D454" s="3">
        <f t="shared" si="30"/>
        <v>5571</v>
      </c>
      <c r="E454" s="157">
        <f>SUBTOTAL(9,E440:E453)</f>
        <v>740</v>
      </c>
      <c r="F454" s="157">
        <f>SUBTOTAL(9,F440:F453)</f>
        <v>819</v>
      </c>
      <c r="G454" s="157">
        <f>SUBTOTAL(9,G440:G453)</f>
        <v>1393</v>
      </c>
      <c r="H454" s="157">
        <f>SUBTOTAL(9,H440:H453)</f>
        <v>2619</v>
      </c>
    </row>
    <row r="455" spans="1:8" ht="15.75" hidden="1" customHeight="1" outlineLevel="2">
      <c r="B455" s="155" t="s">
        <v>82</v>
      </c>
      <c r="C455" s="8" t="s">
        <v>9</v>
      </c>
      <c r="D455" s="3">
        <f>343+105</f>
        <v>448</v>
      </c>
      <c r="E455" s="4">
        <v>86</v>
      </c>
      <c r="F455" s="4">
        <v>151</v>
      </c>
      <c r="G455" s="4">
        <v>86</v>
      </c>
      <c r="H455" s="4">
        <f>85+40</f>
        <v>125</v>
      </c>
    </row>
    <row r="456" spans="1:8" ht="15.75" hidden="1" customHeight="1" outlineLevel="2">
      <c r="B456" s="155" t="s">
        <v>82</v>
      </c>
      <c r="C456" s="8" t="s">
        <v>10</v>
      </c>
      <c r="D456" s="3">
        <v>1</v>
      </c>
      <c r="E456" s="4">
        <v>1</v>
      </c>
      <c r="F456" s="4"/>
      <c r="G456" s="4"/>
      <c r="H456" s="4"/>
    </row>
    <row r="457" spans="1:8" ht="15.75" hidden="1" customHeight="1" outlineLevel="2">
      <c r="B457" s="155" t="s">
        <v>82</v>
      </c>
      <c r="C457" s="8" t="s">
        <v>11</v>
      </c>
      <c r="D457" s="3">
        <f>26+38</f>
        <v>64</v>
      </c>
      <c r="E457" s="4">
        <v>26</v>
      </c>
      <c r="F457" s="4">
        <v>38</v>
      </c>
      <c r="G457" s="4"/>
      <c r="H457" s="4"/>
    </row>
    <row r="458" spans="1:8" ht="15.75" hidden="1" customHeight="1" outlineLevel="2">
      <c r="B458" s="155" t="s">
        <v>82</v>
      </c>
      <c r="C458" s="8" t="s">
        <v>12</v>
      </c>
      <c r="D458" s="3"/>
      <c r="E458" s="4"/>
      <c r="F458" s="4"/>
      <c r="G458" s="4"/>
      <c r="H458" s="4"/>
    </row>
    <row r="459" spans="1:8" ht="15.75" hidden="1" customHeight="1" outlineLevel="2">
      <c r="B459" s="155" t="s">
        <v>82</v>
      </c>
      <c r="C459" s="8" t="s">
        <v>13</v>
      </c>
      <c r="D459" s="3"/>
      <c r="E459" s="4"/>
      <c r="F459" s="4"/>
      <c r="G459" s="4"/>
      <c r="H459" s="4"/>
    </row>
    <row r="460" spans="1:8" ht="15.75" hidden="1" customHeight="1" outlineLevel="2">
      <c r="B460" s="155" t="s">
        <v>82</v>
      </c>
      <c r="C460" s="8" t="s">
        <v>14</v>
      </c>
      <c r="D460" s="3"/>
      <c r="E460" s="4"/>
      <c r="F460" s="4"/>
      <c r="G460" s="4"/>
      <c r="H460" s="4"/>
    </row>
    <row r="461" spans="1:8" ht="15.75" hidden="1" customHeight="1" outlineLevel="2">
      <c r="B461" s="155" t="s">
        <v>82</v>
      </c>
      <c r="C461" s="8" t="s">
        <v>15</v>
      </c>
      <c r="D461" s="3">
        <f>27+39</f>
        <v>66</v>
      </c>
      <c r="E461" s="4">
        <v>27</v>
      </c>
      <c r="F461" s="4">
        <v>39</v>
      </c>
      <c r="G461" s="4"/>
      <c r="H461" s="4"/>
    </row>
    <row r="462" spans="1:8" ht="15.75" hidden="1" customHeight="1" outlineLevel="2">
      <c r="B462" s="155" t="s">
        <v>82</v>
      </c>
      <c r="C462" s="8" t="s">
        <v>16</v>
      </c>
      <c r="D462" s="3">
        <v>1</v>
      </c>
      <c r="E462" s="4">
        <v>1</v>
      </c>
      <c r="F462" s="4"/>
      <c r="G462" s="4"/>
      <c r="H462" s="4"/>
    </row>
    <row r="463" spans="1:8" ht="15.75" hidden="1" customHeight="1" outlineLevel="2">
      <c r="B463" s="155" t="s">
        <v>82</v>
      </c>
      <c r="C463" s="8" t="s">
        <v>17</v>
      </c>
      <c r="D463" s="3">
        <f>125-39</f>
        <v>86</v>
      </c>
      <c r="E463" s="4">
        <v>29</v>
      </c>
      <c r="F463" s="4">
        <v>19</v>
      </c>
      <c r="G463" s="4">
        <v>31</v>
      </c>
      <c r="H463" s="4">
        <f>32+14-39</f>
        <v>7</v>
      </c>
    </row>
    <row r="464" spans="1:8" ht="15.75" hidden="1" customHeight="1" outlineLevel="2">
      <c r="B464" s="155" t="s">
        <v>82</v>
      </c>
      <c r="C464" s="8" t="s">
        <v>18</v>
      </c>
      <c r="D464" s="3"/>
      <c r="E464" s="4"/>
      <c r="F464" s="4"/>
      <c r="G464" s="4"/>
      <c r="H464" s="4"/>
    </row>
    <row r="465" spans="1:8" ht="15.75" hidden="1" customHeight="1" outlineLevel="2">
      <c r="B465" s="155" t="s">
        <v>82</v>
      </c>
      <c r="C465" s="8" t="s">
        <v>19</v>
      </c>
      <c r="D465" s="3">
        <f>160-40-78</f>
        <v>42</v>
      </c>
      <c r="E465" s="4"/>
      <c r="F465" s="4"/>
      <c r="G465" s="4">
        <v>40</v>
      </c>
      <c r="H465" s="4">
        <f>40-38</f>
        <v>2</v>
      </c>
    </row>
    <row r="466" spans="1:8" ht="15.75" hidden="1" customHeight="1" outlineLevel="2">
      <c r="B466" s="155" t="s">
        <v>82</v>
      </c>
      <c r="C466" s="8" t="s">
        <v>20</v>
      </c>
      <c r="D466" s="3">
        <f>160-15-65</f>
        <v>80</v>
      </c>
      <c r="E466" s="4"/>
      <c r="F466" s="4"/>
      <c r="G466" s="4">
        <v>40</v>
      </c>
      <c r="H466" s="4">
        <v>40</v>
      </c>
    </row>
    <row r="467" spans="1:8" ht="15.75" hidden="1" customHeight="1" outlineLevel="2">
      <c r="B467" s="155" t="s">
        <v>82</v>
      </c>
      <c r="C467" s="8" t="s">
        <v>21</v>
      </c>
      <c r="D467" s="3"/>
      <c r="E467" s="4"/>
      <c r="F467" s="4"/>
      <c r="G467" s="4"/>
      <c r="H467" s="4"/>
    </row>
    <row r="468" spans="1:8" ht="15.75" hidden="1" customHeight="1" outlineLevel="2">
      <c r="B468" s="155" t="s">
        <v>82</v>
      </c>
      <c r="C468" s="8" t="s">
        <v>22</v>
      </c>
      <c r="D468" s="3"/>
      <c r="E468" s="4"/>
      <c r="F468" s="4"/>
      <c r="G468" s="4"/>
      <c r="H468" s="4"/>
    </row>
    <row r="469" spans="1:8" ht="15.75" customHeight="1" outlineLevel="1" collapsed="1">
      <c r="A469" s="151">
        <v>1</v>
      </c>
      <c r="B469" s="150" t="s">
        <v>83</v>
      </c>
      <c r="C469" s="8">
        <f t="shared" ref="C469:D469" si="31">SUBTOTAL(9,C455:C468)</f>
        <v>0</v>
      </c>
      <c r="D469" s="3">
        <f t="shared" si="31"/>
        <v>788</v>
      </c>
      <c r="E469" s="157">
        <f>SUBTOTAL(9,E455:E468)</f>
        <v>170</v>
      </c>
      <c r="F469" s="157">
        <f>SUBTOTAL(9,F455:F468)</f>
        <v>247</v>
      </c>
      <c r="G469" s="157">
        <f>SUBTOTAL(9,G455:G468)</f>
        <v>197</v>
      </c>
      <c r="H469" s="157">
        <f>SUBTOTAL(9,H455:H468)</f>
        <v>174</v>
      </c>
    </row>
    <row r="470" spans="1:8" ht="15.75" hidden="1" customHeight="1" outlineLevel="2">
      <c r="B470" s="155" t="s">
        <v>84</v>
      </c>
      <c r="C470" s="8" t="s">
        <v>9</v>
      </c>
      <c r="D470" s="3">
        <f>1364-653</f>
        <v>711</v>
      </c>
      <c r="E470" s="4">
        <v>356</v>
      </c>
      <c r="F470" s="4">
        <v>355</v>
      </c>
      <c r="G470" s="4"/>
      <c r="H470" s="4"/>
    </row>
    <row r="471" spans="1:8" ht="15.75" hidden="1" customHeight="1" outlineLevel="2">
      <c r="B471" s="155" t="s">
        <v>84</v>
      </c>
      <c r="C471" s="8" t="s">
        <v>10</v>
      </c>
      <c r="D471" s="3"/>
      <c r="E471" s="4"/>
      <c r="F471" s="4"/>
      <c r="G471" s="4"/>
      <c r="H471" s="4"/>
    </row>
    <row r="472" spans="1:8" ht="15.75" hidden="1" customHeight="1" outlineLevel="2">
      <c r="B472" s="155" t="s">
        <v>84</v>
      </c>
      <c r="C472" s="8" t="s">
        <v>11</v>
      </c>
      <c r="D472" s="3"/>
      <c r="E472" s="4"/>
      <c r="F472" s="4"/>
      <c r="G472" s="4"/>
      <c r="H472" s="4"/>
    </row>
    <row r="473" spans="1:8" ht="15.75" hidden="1" customHeight="1" outlineLevel="2">
      <c r="B473" s="155" t="s">
        <v>84</v>
      </c>
      <c r="C473" s="8" t="s">
        <v>12</v>
      </c>
      <c r="D473" s="3"/>
      <c r="E473" s="4"/>
      <c r="F473" s="4"/>
      <c r="G473" s="4"/>
      <c r="H473" s="4"/>
    </row>
    <row r="474" spans="1:8" ht="15.75" hidden="1" customHeight="1" outlineLevel="2">
      <c r="B474" s="155" t="s">
        <v>84</v>
      </c>
      <c r="C474" s="8" t="s">
        <v>13</v>
      </c>
      <c r="D474" s="3"/>
      <c r="E474" s="4"/>
      <c r="F474" s="4"/>
      <c r="G474" s="4"/>
      <c r="H474" s="4"/>
    </row>
    <row r="475" spans="1:8" ht="15.75" hidden="1" customHeight="1" outlineLevel="2">
      <c r="B475" s="155" t="s">
        <v>84</v>
      </c>
      <c r="C475" s="8" t="s">
        <v>14</v>
      </c>
      <c r="D475" s="3"/>
      <c r="E475" s="4"/>
      <c r="F475" s="4"/>
      <c r="G475" s="4"/>
      <c r="H475" s="4"/>
    </row>
    <row r="476" spans="1:8" ht="15.75" hidden="1" customHeight="1" outlineLevel="2">
      <c r="B476" s="155" t="s">
        <v>84</v>
      </c>
      <c r="C476" s="8" t="s">
        <v>15</v>
      </c>
      <c r="D476" s="3"/>
      <c r="E476" s="4"/>
      <c r="F476" s="4"/>
      <c r="G476" s="4"/>
      <c r="H476" s="4"/>
    </row>
    <row r="477" spans="1:8" ht="15.75" hidden="1" customHeight="1" outlineLevel="2">
      <c r="B477" s="155" t="s">
        <v>84</v>
      </c>
      <c r="C477" s="8" t="s">
        <v>16</v>
      </c>
      <c r="D477" s="3"/>
      <c r="E477" s="4"/>
      <c r="F477" s="4"/>
      <c r="G477" s="4"/>
      <c r="H477" s="4"/>
    </row>
    <row r="478" spans="1:8" ht="15.75" hidden="1" customHeight="1" outlineLevel="2">
      <c r="B478" s="155" t="s">
        <v>84</v>
      </c>
      <c r="C478" s="8" t="s">
        <v>17</v>
      </c>
      <c r="D478" s="3"/>
      <c r="E478" s="4"/>
      <c r="F478" s="4"/>
      <c r="G478" s="4"/>
      <c r="H478" s="4"/>
    </row>
    <row r="479" spans="1:8" ht="15.75" hidden="1" customHeight="1" outlineLevel="2">
      <c r="B479" s="155" t="s">
        <v>84</v>
      </c>
      <c r="C479" s="8" t="s">
        <v>18</v>
      </c>
      <c r="D479" s="3"/>
      <c r="E479" s="4"/>
      <c r="F479" s="4"/>
      <c r="G479" s="4"/>
      <c r="H479" s="4"/>
    </row>
    <row r="480" spans="1:8" ht="15.75" hidden="1" customHeight="1" outlineLevel="2">
      <c r="B480" s="155" t="s">
        <v>84</v>
      </c>
      <c r="C480" s="8" t="s">
        <v>19</v>
      </c>
      <c r="D480" s="3"/>
      <c r="E480" s="4"/>
      <c r="F480" s="4"/>
      <c r="G480" s="4"/>
      <c r="H480" s="4"/>
    </row>
    <row r="481" spans="1:8" ht="15.75" hidden="1" customHeight="1" outlineLevel="2">
      <c r="B481" s="155" t="s">
        <v>84</v>
      </c>
      <c r="C481" s="8" t="s">
        <v>20</v>
      </c>
      <c r="D481" s="3"/>
      <c r="E481" s="4"/>
      <c r="F481" s="4"/>
      <c r="G481" s="4"/>
      <c r="H481" s="4"/>
    </row>
    <row r="482" spans="1:8" ht="15.75" hidden="1" customHeight="1" outlineLevel="2">
      <c r="B482" s="155" t="s">
        <v>84</v>
      </c>
      <c r="C482" s="8" t="s">
        <v>21</v>
      </c>
      <c r="D482" s="3"/>
      <c r="E482" s="4"/>
      <c r="F482" s="4"/>
      <c r="G482" s="4"/>
      <c r="H482" s="4"/>
    </row>
    <row r="483" spans="1:8" ht="15.75" hidden="1" customHeight="1" outlineLevel="2">
      <c r="B483" s="155" t="s">
        <v>84</v>
      </c>
      <c r="C483" s="8" t="s">
        <v>22</v>
      </c>
      <c r="D483" s="3"/>
      <c r="E483" s="4"/>
      <c r="F483" s="4"/>
      <c r="G483" s="4"/>
      <c r="H483" s="4"/>
    </row>
    <row r="484" spans="1:8" ht="15.75" customHeight="1" outlineLevel="1" collapsed="1">
      <c r="A484" s="151">
        <v>1</v>
      </c>
      <c r="B484" s="150" t="s">
        <v>85</v>
      </c>
      <c r="C484" s="8">
        <f t="shared" ref="C484:D484" si="32">SUBTOTAL(9,C470:C483)</f>
        <v>0</v>
      </c>
      <c r="D484" s="3">
        <f t="shared" si="32"/>
        <v>711</v>
      </c>
      <c r="E484" s="157">
        <f>SUBTOTAL(9,E470:E483)</f>
        <v>356</v>
      </c>
      <c r="F484" s="157">
        <f>SUBTOTAL(9,F470:F483)</f>
        <v>355</v>
      </c>
      <c r="G484" s="157">
        <f>SUBTOTAL(9,G470:G483)</f>
        <v>0</v>
      </c>
      <c r="H484" s="157">
        <f>SUBTOTAL(9,H470:H483)</f>
        <v>0</v>
      </c>
    </row>
    <row r="485" spans="1:8" ht="15.75" hidden="1" customHeight="1" outlineLevel="2">
      <c r="B485" s="155" t="s">
        <v>86</v>
      </c>
      <c r="C485" s="8" t="s">
        <v>9</v>
      </c>
      <c r="D485" s="3">
        <f>568-80</f>
        <v>488</v>
      </c>
      <c r="E485" s="4">
        <v>107</v>
      </c>
      <c r="F485" s="4">
        <v>118</v>
      </c>
      <c r="G485" s="4">
        <v>114</v>
      </c>
      <c r="H485" s="4">
        <f>200+29-80</f>
        <v>149</v>
      </c>
    </row>
    <row r="486" spans="1:8" ht="15.75" hidden="1" customHeight="1" outlineLevel="2">
      <c r="B486" s="155" t="s">
        <v>86</v>
      </c>
      <c r="C486" s="8" t="s">
        <v>10</v>
      </c>
      <c r="D486" s="3">
        <f>2+1</f>
        <v>3</v>
      </c>
      <c r="E486" s="4"/>
      <c r="F486" s="4">
        <v>3</v>
      </c>
      <c r="G486" s="4">
        <v>0</v>
      </c>
      <c r="H486" s="4"/>
    </row>
    <row r="487" spans="1:8" ht="15.75" hidden="1" customHeight="1" outlineLevel="2">
      <c r="B487" s="155" t="s">
        <v>86</v>
      </c>
      <c r="C487" s="8" t="s">
        <v>11</v>
      </c>
      <c r="D487" s="3">
        <f>23+10+17</f>
        <v>50</v>
      </c>
      <c r="E487" s="4">
        <v>7</v>
      </c>
      <c r="F487" s="4">
        <v>17</v>
      </c>
      <c r="G487" s="4">
        <f>5+10</f>
        <v>15</v>
      </c>
      <c r="H487" s="4">
        <f>4+7</f>
        <v>11</v>
      </c>
    </row>
    <row r="488" spans="1:8" ht="15.75" hidden="1" customHeight="1" outlineLevel="2">
      <c r="B488" s="155" t="s">
        <v>86</v>
      </c>
      <c r="C488" s="8" t="s">
        <v>12</v>
      </c>
      <c r="D488" s="3"/>
      <c r="E488" s="4"/>
      <c r="F488" s="4"/>
      <c r="G488" s="4"/>
      <c r="H488" s="4"/>
    </row>
    <row r="489" spans="1:8" ht="15.75" hidden="1" customHeight="1" outlineLevel="2">
      <c r="B489" s="155" t="s">
        <v>86</v>
      </c>
      <c r="C489" s="8" t="s">
        <v>13</v>
      </c>
      <c r="D489" s="3"/>
      <c r="E489" s="4"/>
      <c r="F489" s="4"/>
      <c r="G489" s="4"/>
      <c r="H489" s="4"/>
    </row>
    <row r="490" spans="1:8" ht="15.75" hidden="1" customHeight="1" outlineLevel="2">
      <c r="B490" s="155" t="s">
        <v>86</v>
      </c>
      <c r="C490" s="8" t="s">
        <v>14</v>
      </c>
      <c r="D490" s="3"/>
      <c r="E490" s="4"/>
      <c r="F490" s="4"/>
      <c r="G490" s="4"/>
      <c r="H490" s="4"/>
    </row>
    <row r="491" spans="1:8" ht="15.75" hidden="1" customHeight="1" outlineLevel="2">
      <c r="B491" s="155" t="s">
        <v>86</v>
      </c>
      <c r="C491" s="8" t="s">
        <v>15</v>
      </c>
      <c r="D491" s="3">
        <f>71+70+111</f>
        <v>252</v>
      </c>
      <c r="E491" s="4">
        <v>44</v>
      </c>
      <c r="F491" s="4">
        <v>84</v>
      </c>
      <c r="G491" s="4">
        <f>13+50</f>
        <v>63</v>
      </c>
      <c r="H491" s="4">
        <f>27-27+61</f>
        <v>61</v>
      </c>
    </row>
    <row r="492" spans="1:8" ht="15.75" hidden="1" customHeight="1" outlineLevel="2">
      <c r="B492" s="155" t="s">
        <v>86</v>
      </c>
      <c r="C492" s="8" t="s">
        <v>16</v>
      </c>
      <c r="D492" s="3">
        <v>4</v>
      </c>
      <c r="E492" s="4"/>
      <c r="F492" s="4">
        <v>3</v>
      </c>
      <c r="G492" s="4">
        <v>1</v>
      </c>
      <c r="H492" s="4"/>
    </row>
    <row r="493" spans="1:8" ht="15.75" hidden="1" customHeight="1" outlineLevel="2">
      <c r="B493" s="155" t="s">
        <v>86</v>
      </c>
      <c r="C493" s="8" t="s">
        <v>17</v>
      </c>
      <c r="D493" s="3">
        <f>527-4-1+14</f>
        <v>536</v>
      </c>
      <c r="E493" s="4">
        <v>140</v>
      </c>
      <c r="F493" s="4">
        <v>153</v>
      </c>
      <c r="G493" s="4">
        <f>104+14</f>
        <v>118</v>
      </c>
      <c r="H493" s="4">
        <f>188-26-4-33</f>
        <v>125</v>
      </c>
    </row>
    <row r="494" spans="1:8" ht="15.75" hidden="1" customHeight="1" outlineLevel="2">
      <c r="B494" s="155" t="s">
        <v>86</v>
      </c>
      <c r="C494" s="8" t="s">
        <v>18</v>
      </c>
      <c r="D494" s="3"/>
      <c r="E494" s="4"/>
      <c r="F494" s="4"/>
      <c r="G494" s="4"/>
      <c r="H494" s="4"/>
    </row>
    <row r="495" spans="1:8" ht="15.75" hidden="1" customHeight="1" outlineLevel="2">
      <c r="B495" s="155" t="s">
        <v>86</v>
      </c>
      <c r="C495" s="8" t="s">
        <v>19</v>
      </c>
      <c r="D495" s="3"/>
      <c r="E495" s="4"/>
      <c r="F495" s="4"/>
      <c r="G495" s="4"/>
      <c r="H495" s="4"/>
    </row>
    <row r="496" spans="1:8" ht="15.75" hidden="1" customHeight="1" outlineLevel="2">
      <c r="B496" s="155" t="s">
        <v>86</v>
      </c>
      <c r="C496" s="8" t="s">
        <v>20</v>
      </c>
      <c r="D496" s="3"/>
      <c r="E496" s="4"/>
      <c r="F496" s="4"/>
      <c r="G496" s="4"/>
      <c r="H496" s="4"/>
    </row>
    <row r="497" spans="1:8" ht="15.75" hidden="1" customHeight="1" outlineLevel="2">
      <c r="B497" s="155" t="s">
        <v>86</v>
      </c>
      <c r="C497" s="8" t="s">
        <v>21</v>
      </c>
      <c r="D497" s="3"/>
      <c r="E497" s="4"/>
      <c r="F497" s="4"/>
      <c r="G497" s="4"/>
      <c r="H497" s="4"/>
    </row>
    <row r="498" spans="1:8" ht="15.75" hidden="1" customHeight="1" outlineLevel="2">
      <c r="B498" s="155" t="s">
        <v>86</v>
      </c>
      <c r="C498" s="8" t="s">
        <v>22</v>
      </c>
      <c r="D498" s="3"/>
      <c r="E498" s="4"/>
      <c r="F498" s="4"/>
      <c r="G498" s="4"/>
      <c r="H498" s="4"/>
    </row>
    <row r="499" spans="1:8" ht="15.75" customHeight="1" outlineLevel="1" collapsed="1">
      <c r="A499" s="151">
        <v>1</v>
      </c>
      <c r="B499" s="150" t="s">
        <v>87</v>
      </c>
      <c r="C499" s="8">
        <f t="shared" ref="C499:D499" si="33">SUBTOTAL(9,C485:C498)</f>
        <v>0</v>
      </c>
      <c r="D499" s="3">
        <f t="shared" si="33"/>
        <v>1333</v>
      </c>
      <c r="E499" s="157">
        <f>SUBTOTAL(9,E485:E498)</f>
        <v>298</v>
      </c>
      <c r="F499" s="157">
        <f>SUBTOTAL(9,F485:F498)</f>
        <v>378</v>
      </c>
      <c r="G499" s="157">
        <f>SUBTOTAL(9,G485:G498)</f>
        <v>311</v>
      </c>
      <c r="H499" s="157">
        <f>SUBTOTAL(9,H485:H498)</f>
        <v>346</v>
      </c>
    </row>
    <row r="500" spans="1:8" ht="15.75" hidden="1" customHeight="1" outlineLevel="2">
      <c r="B500" s="155" t="s">
        <v>88</v>
      </c>
      <c r="C500" s="8" t="s">
        <v>9</v>
      </c>
      <c r="D500" s="3">
        <v>485</v>
      </c>
      <c r="E500" s="4">
        <v>46</v>
      </c>
      <c r="F500" s="4">
        <v>126</v>
      </c>
      <c r="G500" s="4">
        <v>121</v>
      </c>
      <c r="H500" s="4">
        <f>122+75+13-18</f>
        <v>192</v>
      </c>
    </row>
    <row r="501" spans="1:8" ht="15.75" hidden="1" customHeight="1" outlineLevel="2">
      <c r="B501" s="155" t="s">
        <v>88</v>
      </c>
      <c r="C501" s="8" t="s">
        <v>10</v>
      </c>
      <c r="D501" s="3"/>
      <c r="E501" s="4"/>
      <c r="F501" s="4"/>
      <c r="G501" s="4"/>
      <c r="H501" s="4"/>
    </row>
    <row r="502" spans="1:8" ht="15.75" hidden="1" customHeight="1" outlineLevel="2">
      <c r="B502" s="155" t="s">
        <v>88</v>
      </c>
      <c r="C502" s="8" t="s">
        <v>11</v>
      </c>
      <c r="D502" s="3">
        <v>6</v>
      </c>
      <c r="E502" s="4"/>
      <c r="F502" s="4"/>
      <c r="G502" s="4">
        <v>2</v>
      </c>
      <c r="H502" s="4">
        <f>0+2+2</f>
        <v>4</v>
      </c>
    </row>
    <row r="503" spans="1:8" ht="15.75" hidden="1" customHeight="1" outlineLevel="2">
      <c r="B503" s="155" t="s">
        <v>88</v>
      </c>
      <c r="C503" s="8" t="s">
        <v>12</v>
      </c>
      <c r="D503" s="3">
        <v>1277</v>
      </c>
      <c r="E503" s="4"/>
      <c r="F503" s="4">
        <v>6</v>
      </c>
      <c r="G503" s="4">
        <v>319</v>
      </c>
      <c r="H503" s="4">
        <f>321+319+312</f>
        <v>952</v>
      </c>
    </row>
    <row r="504" spans="1:8" ht="15.75" hidden="1" customHeight="1" outlineLevel="2">
      <c r="B504" s="155" t="s">
        <v>88</v>
      </c>
      <c r="C504" s="8" t="s">
        <v>13</v>
      </c>
      <c r="D504" s="3">
        <v>2</v>
      </c>
      <c r="E504" s="4"/>
      <c r="F504" s="4"/>
      <c r="G504" s="4">
        <v>0</v>
      </c>
      <c r="H504" s="4">
        <f>1+1</f>
        <v>2</v>
      </c>
    </row>
    <row r="505" spans="1:8" ht="15.75" hidden="1" customHeight="1" outlineLevel="2">
      <c r="B505" s="155" t="s">
        <v>88</v>
      </c>
      <c r="C505" s="8" t="s">
        <v>14</v>
      </c>
      <c r="D505" s="3">
        <v>77</v>
      </c>
      <c r="E505" s="4"/>
      <c r="F505" s="4"/>
      <c r="G505" s="4">
        <v>19</v>
      </c>
      <c r="H505" s="4">
        <f>20+19+19</f>
        <v>58</v>
      </c>
    </row>
    <row r="506" spans="1:8" ht="15.75" hidden="1" customHeight="1" outlineLevel="2">
      <c r="B506" s="155" t="s">
        <v>88</v>
      </c>
      <c r="C506" s="8" t="s">
        <v>15</v>
      </c>
      <c r="D506" s="3">
        <v>22</v>
      </c>
      <c r="E506" s="4"/>
      <c r="F506" s="4"/>
      <c r="G506" s="4">
        <v>6</v>
      </c>
      <c r="H506" s="4">
        <f>4+6+6</f>
        <v>16</v>
      </c>
    </row>
    <row r="507" spans="1:8" ht="15.75" hidden="1" customHeight="1" outlineLevel="2">
      <c r="B507" s="155" t="s">
        <v>88</v>
      </c>
      <c r="C507" s="8" t="s">
        <v>16</v>
      </c>
      <c r="D507" s="3"/>
      <c r="E507" s="4"/>
      <c r="F507" s="4"/>
      <c r="G507" s="4"/>
      <c r="H507" s="4"/>
    </row>
    <row r="508" spans="1:8" ht="15.75" hidden="1" customHeight="1" outlineLevel="2">
      <c r="B508" s="155" t="s">
        <v>88</v>
      </c>
      <c r="C508" s="8" t="s">
        <v>17</v>
      </c>
      <c r="D508" s="3">
        <v>56</v>
      </c>
      <c r="E508" s="4"/>
      <c r="F508" s="4">
        <v>2</v>
      </c>
      <c r="G508" s="4">
        <v>14</v>
      </c>
      <c r="H508" s="4">
        <f>14+14+12</f>
        <v>40</v>
      </c>
    </row>
    <row r="509" spans="1:8" ht="15.75" hidden="1" customHeight="1" outlineLevel="2">
      <c r="B509" s="155" t="s">
        <v>88</v>
      </c>
      <c r="C509" s="8" t="s">
        <v>18</v>
      </c>
      <c r="D509" s="3">
        <v>24</v>
      </c>
      <c r="E509" s="4"/>
      <c r="F509" s="4"/>
      <c r="G509" s="4">
        <v>6</v>
      </c>
      <c r="H509" s="4">
        <f>6+6+6</f>
        <v>18</v>
      </c>
    </row>
    <row r="510" spans="1:8" ht="15.75" hidden="1" customHeight="1" outlineLevel="2">
      <c r="B510" s="155" t="s">
        <v>88</v>
      </c>
      <c r="C510" s="8" t="s">
        <v>19</v>
      </c>
      <c r="D510" s="3"/>
      <c r="E510" s="4"/>
      <c r="F510" s="4"/>
      <c r="G510" s="4"/>
      <c r="H510" s="4"/>
    </row>
    <row r="511" spans="1:8" ht="15.75" hidden="1" customHeight="1" outlineLevel="2">
      <c r="B511" s="155" t="s">
        <v>88</v>
      </c>
      <c r="C511" s="8" t="s">
        <v>20</v>
      </c>
      <c r="D511" s="3">
        <v>79</v>
      </c>
      <c r="E511" s="4"/>
      <c r="F511" s="4">
        <v>2</v>
      </c>
      <c r="G511" s="4">
        <v>20</v>
      </c>
      <c r="H511" s="4">
        <f>19+20+18</f>
        <v>57</v>
      </c>
    </row>
    <row r="512" spans="1:8" ht="15.75" hidden="1" customHeight="1" outlineLevel="2">
      <c r="B512" s="155" t="s">
        <v>88</v>
      </c>
      <c r="C512" s="8" t="s">
        <v>21</v>
      </c>
      <c r="D512" s="3"/>
      <c r="E512" s="4"/>
      <c r="F512" s="4"/>
      <c r="G512" s="4"/>
      <c r="H512" s="4"/>
    </row>
    <row r="513" spans="1:8" ht="15.75" hidden="1" customHeight="1" outlineLevel="2">
      <c r="B513" s="155" t="s">
        <v>88</v>
      </c>
      <c r="C513" s="8" t="s">
        <v>22</v>
      </c>
      <c r="D513" s="3">
        <v>446</v>
      </c>
      <c r="E513" s="4"/>
      <c r="F513" s="4"/>
      <c r="G513" s="4">
        <v>112</v>
      </c>
      <c r="H513" s="4">
        <f>111+111+112</f>
        <v>334</v>
      </c>
    </row>
    <row r="514" spans="1:8" ht="15.75" customHeight="1" outlineLevel="1" collapsed="1">
      <c r="A514" s="151">
        <v>1</v>
      </c>
      <c r="B514" s="150" t="s">
        <v>89</v>
      </c>
      <c r="C514" s="8">
        <f t="shared" ref="C514:D514" si="34">SUBTOTAL(9,C500:C513)</f>
        <v>0</v>
      </c>
      <c r="D514" s="3">
        <f t="shared" si="34"/>
        <v>2474</v>
      </c>
      <c r="E514" s="157">
        <f>SUBTOTAL(9,E500:E513)</f>
        <v>46</v>
      </c>
      <c r="F514" s="157">
        <f>SUBTOTAL(9,F500:F513)</f>
        <v>136</v>
      </c>
      <c r="G514" s="157">
        <f>SUBTOTAL(9,G500:G513)</f>
        <v>619</v>
      </c>
      <c r="H514" s="157">
        <f>SUBTOTAL(9,H500:H513)</f>
        <v>1673</v>
      </c>
    </row>
    <row r="515" spans="1:8" ht="15.75" hidden="1" customHeight="1" outlineLevel="2">
      <c r="B515" s="155" t="s">
        <v>90</v>
      </c>
      <c r="C515" s="8" t="s">
        <v>9</v>
      </c>
      <c r="D515" s="3">
        <v>218</v>
      </c>
      <c r="E515" s="4">
        <v>48</v>
      </c>
      <c r="F515" s="4">
        <v>32</v>
      </c>
      <c r="G515" s="4">
        <v>54</v>
      </c>
      <c r="H515" s="4">
        <f>55-3+32</f>
        <v>84</v>
      </c>
    </row>
    <row r="516" spans="1:8" ht="15.75" hidden="1" customHeight="1" outlineLevel="2">
      <c r="B516" s="155" t="s">
        <v>90</v>
      </c>
      <c r="C516" s="8" t="s">
        <v>10</v>
      </c>
      <c r="D516" s="3">
        <f>2</f>
        <v>2</v>
      </c>
      <c r="E516" s="4"/>
      <c r="F516" s="4">
        <v>2</v>
      </c>
      <c r="G516" s="4"/>
      <c r="H516" s="4"/>
    </row>
    <row r="517" spans="1:8" ht="15.75" hidden="1" customHeight="1" outlineLevel="2">
      <c r="B517" s="155" t="s">
        <v>90</v>
      </c>
      <c r="C517" s="8" t="s">
        <v>11</v>
      </c>
      <c r="D517" s="3">
        <f>64-3</f>
        <v>61</v>
      </c>
      <c r="E517" s="4">
        <v>13</v>
      </c>
      <c r="F517" s="4">
        <v>4</v>
      </c>
      <c r="G517" s="4">
        <v>16</v>
      </c>
      <c r="H517" s="4">
        <f>16+3+12-3</f>
        <v>28</v>
      </c>
    </row>
    <row r="518" spans="1:8" ht="15.75" hidden="1" customHeight="1" outlineLevel="2">
      <c r="B518" s="155" t="s">
        <v>90</v>
      </c>
      <c r="C518" s="8" t="s">
        <v>12</v>
      </c>
      <c r="D518" s="3"/>
      <c r="E518" s="4"/>
      <c r="F518" s="4"/>
      <c r="G518" s="4"/>
      <c r="H518" s="4"/>
    </row>
    <row r="519" spans="1:8" ht="15.75" hidden="1" customHeight="1" outlineLevel="2">
      <c r="B519" s="155" t="s">
        <v>90</v>
      </c>
      <c r="C519" s="8" t="s">
        <v>13</v>
      </c>
      <c r="D519" s="3"/>
      <c r="E519" s="4"/>
      <c r="F519" s="4"/>
      <c r="G519" s="4"/>
      <c r="H519" s="4"/>
    </row>
    <row r="520" spans="1:8" ht="15.75" hidden="1" customHeight="1" outlineLevel="2">
      <c r="B520" s="155" t="s">
        <v>90</v>
      </c>
      <c r="C520" s="8" t="s">
        <v>14</v>
      </c>
      <c r="D520" s="3">
        <f>3</f>
        <v>3</v>
      </c>
      <c r="E520" s="4"/>
      <c r="F520" s="4">
        <v>3</v>
      </c>
      <c r="G520" s="4"/>
      <c r="H520" s="4"/>
    </row>
    <row r="521" spans="1:8" ht="15.75" hidden="1" customHeight="1" outlineLevel="2">
      <c r="B521" s="155" t="s">
        <v>90</v>
      </c>
      <c r="C521" s="8" t="s">
        <v>15</v>
      </c>
      <c r="D521" s="3">
        <f>100-11</f>
        <v>89</v>
      </c>
      <c r="E521" s="4">
        <v>15</v>
      </c>
      <c r="F521" s="4">
        <v>11</v>
      </c>
      <c r="G521" s="4">
        <v>25</v>
      </c>
      <c r="H521" s="4">
        <f>25-1+14</f>
        <v>38</v>
      </c>
    </row>
    <row r="522" spans="1:8" ht="15.75" hidden="1" customHeight="1" outlineLevel="2">
      <c r="B522" s="155" t="s">
        <v>90</v>
      </c>
      <c r="C522" s="8" t="s">
        <v>16</v>
      </c>
      <c r="D522" s="3">
        <f>1</f>
        <v>1</v>
      </c>
      <c r="E522" s="4"/>
      <c r="F522" s="4">
        <v>1</v>
      </c>
      <c r="G522" s="4"/>
      <c r="H522" s="4"/>
    </row>
    <row r="523" spans="1:8" ht="15.75" hidden="1" customHeight="1" outlineLevel="2">
      <c r="B523" s="155" t="s">
        <v>90</v>
      </c>
      <c r="C523" s="8" t="s">
        <v>17</v>
      </c>
      <c r="D523" s="3">
        <f>115+11-3</f>
        <v>123</v>
      </c>
      <c r="E523" s="4">
        <v>48</v>
      </c>
      <c r="F523" s="4">
        <v>26</v>
      </c>
      <c r="G523" s="4">
        <v>29</v>
      </c>
      <c r="H523" s="4">
        <f>29-9</f>
        <v>20</v>
      </c>
    </row>
    <row r="524" spans="1:8" ht="15.75" hidden="1" customHeight="1" outlineLevel="2">
      <c r="B524" s="155" t="s">
        <v>90</v>
      </c>
      <c r="C524" s="8" t="s">
        <v>18</v>
      </c>
      <c r="D524" s="3"/>
      <c r="E524" s="4"/>
      <c r="F524" s="4"/>
      <c r="G524" s="4"/>
      <c r="H524" s="4"/>
    </row>
    <row r="525" spans="1:8" ht="15.75" hidden="1" customHeight="1" outlineLevel="2">
      <c r="B525" s="155" t="s">
        <v>90</v>
      </c>
      <c r="C525" s="8" t="s">
        <v>19</v>
      </c>
      <c r="D525" s="3"/>
      <c r="E525" s="4"/>
      <c r="F525" s="4"/>
      <c r="G525" s="4"/>
      <c r="H525" s="4"/>
    </row>
    <row r="526" spans="1:8" ht="15.75" hidden="1" customHeight="1" outlineLevel="2">
      <c r="B526" s="155" t="s">
        <v>90</v>
      </c>
      <c r="C526" s="8" t="s">
        <v>20</v>
      </c>
      <c r="D526" s="3"/>
      <c r="E526" s="4"/>
      <c r="F526" s="4"/>
      <c r="G526" s="4"/>
      <c r="H526" s="4"/>
    </row>
    <row r="527" spans="1:8" ht="15.75" hidden="1" customHeight="1" outlineLevel="2">
      <c r="B527" s="155" t="s">
        <v>90</v>
      </c>
      <c r="C527" s="8" t="s">
        <v>21</v>
      </c>
      <c r="D527" s="3"/>
      <c r="E527" s="4"/>
      <c r="F527" s="4"/>
      <c r="G527" s="4"/>
      <c r="H527" s="4"/>
    </row>
    <row r="528" spans="1:8" ht="15.75" hidden="1" customHeight="1" outlineLevel="2">
      <c r="B528" s="155" t="s">
        <v>90</v>
      </c>
      <c r="C528" s="8" t="s">
        <v>22</v>
      </c>
      <c r="D528" s="3"/>
      <c r="E528" s="4"/>
      <c r="F528" s="4"/>
      <c r="G528" s="4"/>
      <c r="H528" s="4"/>
    </row>
    <row r="529" spans="1:8" ht="15.75" customHeight="1" outlineLevel="1" collapsed="1">
      <c r="A529" s="151">
        <v>1</v>
      </c>
      <c r="B529" s="150" t="s">
        <v>91</v>
      </c>
      <c r="C529" s="8">
        <f t="shared" ref="C529:D529" si="35">SUBTOTAL(9,C515:C528)</f>
        <v>0</v>
      </c>
      <c r="D529" s="3">
        <f t="shared" si="35"/>
        <v>497</v>
      </c>
      <c r="E529" s="157">
        <f>SUBTOTAL(9,E515:E528)</f>
        <v>124</v>
      </c>
      <c r="F529" s="157">
        <f>SUBTOTAL(9,F515:F528)</f>
        <v>79</v>
      </c>
      <c r="G529" s="157">
        <f>SUBTOTAL(9,G515:G528)</f>
        <v>124</v>
      </c>
      <c r="H529" s="157">
        <f>SUBTOTAL(9,H515:H528)</f>
        <v>170</v>
      </c>
    </row>
    <row r="530" spans="1:8" ht="15.75" hidden="1" customHeight="1" outlineLevel="2">
      <c r="B530" s="155" t="s">
        <v>92</v>
      </c>
      <c r="C530" s="8" t="s">
        <v>9</v>
      </c>
      <c r="D530" s="3">
        <f>933-2</f>
        <v>931</v>
      </c>
      <c r="E530" s="4">
        <v>87</v>
      </c>
      <c r="F530" s="4">
        <v>105</v>
      </c>
      <c r="G530" s="4">
        <v>233</v>
      </c>
      <c r="H530" s="4">
        <f>234+146+126</f>
        <v>506</v>
      </c>
    </row>
    <row r="531" spans="1:8" ht="15.75" hidden="1" customHeight="1" outlineLevel="2">
      <c r="B531" s="155" t="s">
        <v>92</v>
      </c>
      <c r="C531" s="8" t="s">
        <v>10</v>
      </c>
      <c r="D531" s="3"/>
      <c r="E531" s="4"/>
      <c r="F531" s="4"/>
      <c r="G531" s="4"/>
      <c r="H531" s="4"/>
    </row>
    <row r="532" spans="1:8" ht="15.75" hidden="1" customHeight="1" outlineLevel="2">
      <c r="B532" s="155" t="s">
        <v>92</v>
      </c>
      <c r="C532" s="8" t="s">
        <v>11</v>
      </c>
      <c r="D532" s="3"/>
      <c r="E532" s="4"/>
      <c r="F532" s="4"/>
      <c r="G532" s="4"/>
      <c r="H532" s="4"/>
    </row>
    <row r="533" spans="1:8" ht="15.75" hidden="1" customHeight="1" outlineLevel="2">
      <c r="B533" s="155" t="s">
        <v>92</v>
      </c>
      <c r="C533" s="8" t="s">
        <v>12</v>
      </c>
      <c r="D533" s="3"/>
      <c r="E533" s="4"/>
      <c r="F533" s="4"/>
      <c r="G533" s="4"/>
      <c r="H533" s="4"/>
    </row>
    <row r="534" spans="1:8" ht="15.75" hidden="1" customHeight="1" outlineLevel="2">
      <c r="B534" s="155" t="s">
        <v>92</v>
      </c>
      <c r="C534" s="8" t="s">
        <v>13</v>
      </c>
      <c r="D534" s="3">
        <f>30-8</f>
        <v>22</v>
      </c>
      <c r="E534" s="4"/>
      <c r="F534" s="4"/>
      <c r="G534" s="4">
        <v>8</v>
      </c>
      <c r="H534" s="4">
        <f>6+8</f>
        <v>14</v>
      </c>
    </row>
    <row r="535" spans="1:8" ht="15.75" hidden="1" customHeight="1" outlineLevel="2">
      <c r="B535" s="155" t="s">
        <v>92</v>
      </c>
      <c r="C535" s="8" t="s">
        <v>14</v>
      </c>
      <c r="D535" s="3"/>
      <c r="E535" s="4"/>
      <c r="F535" s="4"/>
      <c r="G535" s="4"/>
      <c r="H535" s="4"/>
    </row>
    <row r="536" spans="1:8" ht="15.75" hidden="1" customHeight="1" outlineLevel="2">
      <c r="B536" s="155" t="s">
        <v>92</v>
      </c>
      <c r="C536" s="8" t="s">
        <v>15</v>
      </c>
      <c r="D536" s="3"/>
      <c r="E536" s="4"/>
      <c r="F536" s="4"/>
      <c r="G536" s="4"/>
      <c r="H536" s="4"/>
    </row>
    <row r="537" spans="1:8" ht="15.75" hidden="1" customHeight="1" outlineLevel="2">
      <c r="B537" s="155" t="s">
        <v>92</v>
      </c>
      <c r="C537" s="8" t="s">
        <v>16</v>
      </c>
      <c r="D537" s="3"/>
      <c r="E537" s="4"/>
      <c r="F537" s="4"/>
      <c r="G537" s="4"/>
      <c r="H537" s="4"/>
    </row>
    <row r="538" spans="1:8" ht="15.75" hidden="1" customHeight="1" outlineLevel="2">
      <c r="B538" s="155" t="s">
        <v>92</v>
      </c>
      <c r="C538" s="8" t="s">
        <v>17</v>
      </c>
      <c r="D538" s="3">
        <f>120+8</f>
        <v>128</v>
      </c>
      <c r="E538" s="4">
        <v>20</v>
      </c>
      <c r="F538" s="4">
        <v>37</v>
      </c>
      <c r="G538" s="4">
        <v>30</v>
      </c>
      <c r="H538" s="4">
        <f>30+10+1</f>
        <v>41</v>
      </c>
    </row>
    <row r="539" spans="1:8" ht="15.75" hidden="1" customHeight="1" outlineLevel="2">
      <c r="B539" s="155" t="s">
        <v>92</v>
      </c>
      <c r="C539" s="8" t="s">
        <v>18</v>
      </c>
      <c r="D539" s="3"/>
      <c r="E539" s="4"/>
      <c r="F539" s="4"/>
      <c r="G539" s="4"/>
      <c r="H539" s="4"/>
    </row>
    <row r="540" spans="1:8" ht="15.75" hidden="1" customHeight="1" outlineLevel="2">
      <c r="B540" s="155" t="s">
        <v>92</v>
      </c>
      <c r="C540" s="8" t="s">
        <v>19</v>
      </c>
      <c r="D540" s="3"/>
      <c r="E540" s="4"/>
      <c r="F540" s="4"/>
      <c r="G540" s="4"/>
      <c r="H540" s="4"/>
    </row>
    <row r="541" spans="1:8" ht="15.75" hidden="1" customHeight="1" outlineLevel="2">
      <c r="B541" s="155" t="s">
        <v>92</v>
      </c>
      <c r="C541" s="8" t="s">
        <v>20</v>
      </c>
      <c r="D541" s="3">
        <f>120+2</f>
        <v>122</v>
      </c>
      <c r="E541" s="4">
        <v>20</v>
      </c>
      <c r="F541" s="4">
        <v>32</v>
      </c>
      <c r="G541" s="4">
        <v>30</v>
      </c>
      <c r="H541" s="4">
        <f>30+10</f>
        <v>40</v>
      </c>
    </row>
    <row r="542" spans="1:8" ht="15.75" hidden="1" customHeight="1" outlineLevel="2">
      <c r="B542" s="155" t="s">
        <v>92</v>
      </c>
      <c r="C542" s="8" t="s">
        <v>21</v>
      </c>
      <c r="D542" s="3"/>
      <c r="E542" s="4"/>
      <c r="F542" s="4"/>
      <c r="G542" s="4"/>
      <c r="H542" s="4"/>
    </row>
    <row r="543" spans="1:8" ht="15.75" hidden="1" customHeight="1" outlineLevel="2">
      <c r="B543" s="155" t="s">
        <v>92</v>
      </c>
      <c r="C543" s="8" t="s">
        <v>22</v>
      </c>
      <c r="D543" s="3"/>
      <c r="E543" s="4"/>
      <c r="F543" s="4"/>
      <c r="G543" s="4"/>
      <c r="H543" s="4"/>
    </row>
    <row r="544" spans="1:8" ht="15.75" customHeight="1" outlineLevel="1" collapsed="1">
      <c r="A544" s="151">
        <v>1</v>
      </c>
      <c r="B544" s="150" t="s">
        <v>93</v>
      </c>
      <c r="C544" s="8">
        <f t="shared" ref="C544:D544" si="36">SUBTOTAL(9,C530:C543)</f>
        <v>0</v>
      </c>
      <c r="D544" s="3">
        <f t="shared" si="36"/>
        <v>1203</v>
      </c>
      <c r="E544" s="157">
        <f>SUBTOTAL(9,E530:E543)</f>
        <v>127</v>
      </c>
      <c r="F544" s="157">
        <f>SUBTOTAL(9,F530:F543)</f>
        <v>174</v>
      </c>
      <c r="G544" s="157">
        <f>SUBTOTAL(9,G530:G543)</f>
        <v>301</v>
      </c>
      <c r="H544" s="157">
        <f>SUBTOTAL(9,H530:H543)</f>
        <v>601</v>
      </c>
    </row>
    <row r="545" spans="1:8" ht="15.75" hidden="1" customHeight="1" outlineLevel="2">
      <c r="B545" s="155" t="s">
        <v>94</v>
      </c>
      <c r="C545" s="8" t="s">
        <v>9</v>
      </c>
      <c r="D545" s="3">
        <v>1564</v>
      </c>
      <c r="E545" s="4">
        <v>259</v>
      </c>
      <c r="F545" s="4">
        <v>534</v>
      </c>
      <c r="G545" s="4">
        <v>465</v>
      </c>
      <c r="H545" s="4">
        <f>350-44</f>
        <v>306</v>
      </c>
    </row>
    <row r="546" spans="1:8" ht="15.75" hidden="1" customHeight="1" outlineLevel="2">
      <c r="B546" s="155" t="s">
        <v>94</v>
      </c>
      <c r="C546" s="8" t="s">
        <v>10</v>
      </c>
      <c r="D546" s="3"/>
      <c r="E546" s="4"/>
      <c r="F546" s="4"/>
      <c r="G546" s="4"/>
      <c r="H546" s="4"/>
    </row>
    <row r="547" spans="1:8" ht="15.75" hidden="1" customHeight="1" outlineLevel="2">
      <c r="B547" s="155" t="s">
        <v>94</v>
      </c>
      <c r="C547" s="8" t="s">
        <v>11</v>
      </c>
      <c r="D547" s="3"/>
      <c r="E547" s="4"/>
      <c r="F547" s="4"/>
      <c r="G547" s="4"/>
      <c r="H547" s="4"/>
    </row>
    <row r="548" spans="1:8" ht="15.75" hidden="1" customHeight="1" outlineLevel="2">
      <c r="B548" s="155" t="s">
        <v>94</v>
      </c>
      <c r="C548" s="8" t="s">
        <v>12</v>
      </c>
      <c r="D548" s="3"/>
      <c r="E548" s="4"/>
      <c r="F548" s="4"/>
      <c r="G548" s="4"/>
      <c r="H548" s="4"/>
    </row>
    <row r="549" spans="1:8" ht="15.75" hidden="1" customHeight="1" outlineLevel="2">
      <c r="B549" s="155" t="s">
        <v>94</v>
      </c>
      <c r="C549" s="8" t="s">
        <v>13</v>
      </c>
      <c r="D549" s="3"/>
      <c r="E549" s="4"/>
      <c r="F549" s="4"/>
      <c r="G549" s="4"/>
      <c r="H549" s="4"/>
    </row>
    <row r="550" spans="1:8" ht="15.75" hidden="1" customHeight="1" outlineLevel="2">
      <c r="B550" s="155" t="s">
        <v>94</v>
      </c>
      <c r="C550" s="8" t="s">
        <v>14</v>
      </c>
      <c r="D550" s="3"/>
      <c r="E550" s="4"/>
      <c r="F550" s="4"/>
      <c r="G550" s="4"/>
      <c r="H550" s="4"/>
    </row>
    <row r="551" spans="1:8" ht="15.75" hidden="1" customHeight="1" outlineLevel="2">
      <c r="B551" s="155" t="s">
        <v>94</v>
      </c>
      <c r="C551" s="8" t="s">
        <v>15</v>
      </c>
      <c r="D551" s="3"/>
      <c r="E551" s="4"/>
      <c r="F551" s="4"/>
      <c r="G551" s="4"/>
      <c r="H551" s="4"/>
    </row>
    <row r="552" spans="1:8" ht="15.75" hidden="1" customHeight="1" outlineLevel="2">
      <c r="B552" s="155" t="s">
        <v>94</v>
      </c>
      <c r="C552" s="8" t="s">
        <v>16</v>
      </c>
      <c r="D552" s="3"/>
      <c r="E552" s="4"/>
      <c r="F552" s="4"/>
      <c r="G552" s="4"/>
      <c r="H552" s="4"/>
    </row>
    <row r="553" spans="1:8" ht="15.75" hidden="1" customHeight="1" outlineLevel="2">
      <c r="B553" s="155" t="s">
        <v>94</v>
      </c>
      <c r="C553" s="8" t="s">
        <v>17</v>
      </c>
      <c r="D553" s="3"/>
      <c r="E553" s="4"/>
      <c r="F553" s="4"/>
      <c r="G553" s="4"/>
      <c r="H553" s="4"/>
    </row>
    <row r="554" spans="1:8" ht="15.75" hidden="1" customHeight="1" outlineLevel="2">
      <c r="B554" s="155" t="s">
        <v>94</v>
      </c>
      <c r="C554" s="8" t="s">
        <v>18</v>
      </c>
      <c r="D554" s="3"/>
      <c r="E554" s="4"/>
      <c r="F554" s="4"/>
      <c r="G554" s="4"/>
      <c r="H554" s="4"/>
    </row>
    <row r="555" spans="1:8" ht="15.75" hidden="1" customHeight="1" outlineLevel="2">
      <c r="B555" s="155" t="s">
        <v>94</v>
      </c>
      <c r="C555" s="8" t="s">
        <v>19</v>
      </c>
      <c r="D555" s="3"/>
      <c r="E555" s="4"/>
      <c r="F555" s="4"/>
      <c r="G555" s="4"/>
      <c r="H555" s="4"/>
    </row>
    <row r="556" spans="1:8" ht="15.75" hidden="1" customHeight="1" outlineLevel="2">
      <c r="B556" s="155" t="s">
        <v>94</v>
      </c>
      <c r="C556" s="8" t="s">
        <v>20</v>
      </c>
      <c r="D556" s="3"/>
      <c r="E556" s="4"/>
      <c r="F556" s="4"/>
      <c r="G556" s="4"/>
      <c r="H556" s="4"/>
    </row>
    <row r="557" spans="1:8" ht="15.75" hidden="1" customHeight="1" outlineLevel="2">
      <c r="B557" s="155" t="s">
        <v>94</v>
      </c>
      <c r="C557" s="8" t="s">
        <v>21</v>
      </c>
      <c r="D557" s="3"/>
      <c r="E557" s="4"/>
      <c r="F557" s="4"/>
      <c r="G557" s="4"/>
      <c r="H557" s="4"/>
    </row>
    <row r="558" spans="1:8" ht="15.75" hidden="1" customHeight="1" outlineLevel="2">
      <c r="B558" s="155" t="s">
        <v>94</v>
      </c>
      <c r="C558" s="8" t="s">
        <v>22</v>
      </c>
      <c r="D558" s="3"/>
      <c r="E558" s="4"/>
      <c r="F558" s="4"/>
      <c r="G558" s="4"/>
      <c r="H558" s="4"/>
    </row>
    <row r="559" spans="1:8" ht="15.75" customHeight="1" outlineLevel="1" collapsed="1">
      <c r="A559" s="151">
        <v>1</v>
      </c>
      <c r="B559" s="150" t="s">
        <v>95</v>
      </c>
      <c r="C559" s="8">
        <f t="shared" ref="C559:D559" si="37">SUBTOTAL(9,C545:C558)</f>
        <v>0</v>
      </c>
      <c r="D559" s="3">
        <f t="shared" si="37"/>
        <v>1564</v>
      </c>
      <c r="E559" s="157">
        <f>SUBTOTAL(9,E545:E558)</f>
        <v>259</v>
      </c>
      <c r="F559" s="157">
        <f>SUBTOTAL(9,F545:F558)</f>
        <v>534</v>
      </c>
      <c r="G559" s="157">
        <f>SUBTOTAL(9,G545:G558)</f>
        <v>465</v>
      </c>
      <c r="H559" s="157">
        <f>SUBTOTAL(9,H545:H558)</f>
        <v>306</v>
      </c>
    </row>
    <row r="560" spans="1:8" ht="15.75" hidden="1" customHeight="1" outlineLevel="2">
      <c r="B560" s="155" t="s">
        <v>96</v>
      </c>
      <c r="C560" s="8" t="s">
        <v>9</v>
      </c>
      <c r="D560" s="3">
        <v>2189</v>
      </c>
      <c r="E560" s="4">
        <v>300</v>
      </c>
      <c r="F560" s="4">
        <v>406</v>
      </c>
      <c r="G560" s="4">
        <v>537</v>
      </c>
      <c r="H560" s="4">
        <f>568+247+131</f>
        <v>946</v>
      </c>
    </row>
    <row r="561" spans="1:8" ht="15.75" hidden="1" customHeight="1" outlineLevel="2">
      <c r="B561" s="155" t="s">
        <v>96</v>
      </c>
      <c r="C561" s="8" t="s">
        <v>10</v>
      </c>
      <c r="D561" s="3"/>
      <c r="E561" s="4"/>
      <c r="F561" s="4"/>
      <c r="G561" s="4"/>
      <c r="H561" s="4"/>
    </row>
    <row r="562" spans="1:8" ht="15.75" hidden="1" customHeight="1" outlineLevel="2">
      <c r="B562" s="155" t="s">
        <v>96</v>
      </c>
      <c r="C562" s="8" t="s">
        <v>11</v>
      </c>
      <c r="D562" s="3"/>
      <c r="E562" s="4"/>
      <c r="F562" s="4"/>
      <c r="G562" s="4"/>
      <c r="H562" s="4"/>
    </row>
    <row r="563" spans="1:8" ht="15.75" hidden="1" customHeight="1" outlineLevel="2">
      <c r="B563" s="155" t="s">
        <v>96</v>
      </c>
      <c r="C563" s="8" t="s">
        <v>12</v>
      </c>
      <c r="D563" s="3"/>
      <c r="E563" s="4"/>
      <c r="F563" s="4"/>
      <c r="G563" s="4"/>
      <c r="H563" s="4"/>
    </row>
    <row r="564" spans="1:8" ht="15.75" hidden="1" customHeight="1" outlineLevel="2">
      <c r="B564" s="155" t="s">
        <v>96</v>
      </c>
      <c r="C564" s="8" t="s">
        <v>13</v>
      </c>
      <c r="D564" s="3"/>
      <c r="E564" s="4"/>
      <c r="F564" s="4"/>
      <c r="G564" s="4"/>
      <c r="H564" s="4"/>
    </row>
    <row r="565" spans="1:8" ht="15.75" hidden="1" customHeight="1" outlineLevel="2">
      <c r="B565" s="155" t="s">
        <v>96</v>
      </c>
      <c r="C565" s="8" t="s">
        <v>14</v>
      </c>
      <c r="D565" s="3"/>
      <c r="E565" s="4"/>
      <c r="F565" s="4"/>
      <c r="G565" s="4"/>
      <c r="H565" s="4"/>
    </row>
    <row r="566" spans="1:8" ht="15.75" hidden="1" customHeight="1" outlineLevel="2">
      <c r="B566" s="155" t="s">
        <v>96</v>
      </c>
      <c r="C566" s="8" t="s">
        <v>15</v>
      </c>
      <c r="D566" s="3">
        <v>4</v>
      </c>
      <c r="E566" s="4"/>
      <c r="F566" s="4"/>
      <c r="G566" s="4">
        <v>1</v>
      </c>
      <c r="H566" s="4">
        <f>1+1+1</f>
        <v>3</v>
      </c>
    </row>
    <row r="567" spans="1:8" ht="15.75" hidden="1" customHeight="1" outlineLevel="2">
      <c r="B567" s="155" t="s">
        <v>96</v>
      </c>
      <c r="C567" s="8" t="s">
        <v>16</v>
      </c>
      <c r="D567" s="3"/>
      <c r="E567" s="4"/>
      <c r="F567" s="4"/>
      <c r="G567" s="4"/>
      <c r="H567" s="4"/>
    </row>
    <row r="568" spans="1:8" ht="15.75" hidden="1" customHeight="1" outlineLevel="2">
      <c r="B568" s="155" t="s">
        <v>96</v>
      </c>
      <c r="C568" s="8" t="s">
        <v>17</v>
      </c>
      <c r="D568" s="3">
        <v>3</v>
      </c>
      <c r="E568" s="4"/>
      <c r="F568" s="4"/>
      <c r="G568" s="4">
        <v>1</v>
      </c>
      <c r="H568" s="4">
        <f>0+1+1</f>
        <v>2</v>
      </c>
    </row>
    <row r="569" spans="1:8" ht="15.75" hidden="1" customHeight="1" outlineLevel="2">
      <c r="B569" s="155" t="s">
        <v>96</v>
      </c>
      <c r="C569" s="8" t="s">
        <v>18</v>
      </c>
      <c r="D569" s="3"/>
      <c r="E569" s="4"/>
      <c r="F569" s="4"/>
      <c r="G569" s="4"/>
      <c r="H569" s="4"/>
    </row>
    <row r="570" spans="1:8" ht="15.75" hidden="1" customHeight="1" outlineLevel="2">
      <c r="B570" s="155" t="s">
        <v>96</v>
      </c>
      <c r="C570" s="8" t="s">
        <v>19</v>
      </c>
      <c r="D570" s="3"/>
      <c r="E570" s="4"/>
      <c r="F570" s="4"/>
      <c r="G570" s="4"/>
      <c r="H570" s="4"/>
    </row>
    <row r="571" spans="1:8" ht="15.75" hidden="1" customHeight="1" outlineLevel="2">
      <c r="B571" s="155" t="s">
        <v>96</v>
      </c>
      <c r="C571" s="8" t="s">
        <v>20</v>
      </c>
      <c r="D571" s="3"/>
      <c r="E571" s="4"/>
      <c r="F571" s="4"/>
      <c r="G571" s="4"/>
      <c r="H571" s="4"/>
    </row>
    <row r="572" spans="1:8" ht="15.75" hidden="1" customHeight="1" outlineLevel="2">
      <c r="B572" s="155" t="s">
        <v>96</v>
      </c>
      <c r="C572" s="8" t="s">
        <v>21</v>
      </c>
      <c r="D572" s="3"/>
      <c r="E572" s="4"/>
      <c r="F572" s="4"/>
      <c r="G572" s="4"/>
      <c r="H572" s="4"/>
    </row>
    <row r="573" spans="1:8" ht="15.75" hidden="1" customHeight="1" outlineLevel="2">
      <c r="B573" s="155" t="s">
        <v>96</v>
      </c>
      <c r="C573" s="8" t="s">
        <v>22</v>
      </c>
      <c r="D573" s="3"/>
      <c r="E573" s="4"/>
      <c r="F573" s="4"/>
      <c r="G573" s="4"/>
      <c r="H573" s="4"/>
    </row>
    <row r="574" spans="1:8" ht="15.75" customHeight="1" outlineLevel="1" collapsed="1">
      <c r="A574" s="151">
        <v>1</v>
      </c>
      <c r="B574" s="150" t="s">
        <v>97</v>
      </c>
      <c r="C574" s="8">
        <f t="shared" ref="C574:D574" si="38">SUBTOTAL(9,C560:C573)</f>
        <v>0</v>
      </c>
      <c r="D574" s="3">
        <f t="shared" si="38"/>
        <v>2196</v>
      </c>
      <c r="E574" s="157">
        <f>SUBTOTAL(9,E560:E573)</f>
        <v>300</v>
      </c>
      <c r="F574" s="157">
        <f>SUBTOTAL(9,F560:F573)</f>
        <v>406</v>
      </c>
      <c r="G574" s="157">
        <f>SUBTOTAL(9,G560:G573)</f>
        <v>539</v>
      </c>
      <c r="H574" s="157">
        <f>SUBTOTAL(9,H560:H573)</f>
        <v>951</v>
      </c>
    </row>
    <row r="575" spans="1:8" ht="15.75" hidden="1" customHeight="1" outlineLevel="2">
      <c r="B575" s="155" t="s">
        <v>98</v>
      </c>
      <c r="C575" s="8" t="s">
        <v>9</v>
      </c>
      <c r="D575" s="3">
        <f>2740+489+300</f>
        <v>3529</v>
      </c>
      <c r="E575" s="4">
        <v>1325</v>
      </c>
      <c r="F575" s="4">
        <v>1154</v>
      </c>
      <c r="G575" s="4">
        <v>666</v>
      </c>
      <c r="H575" s="4">
        <f>723-639+300</f>
        <v>384</v>
      </c>
    </row>
    <row r="576" spans="1:8" ht="15.75" hidden="1" customHeight="1" outlineLevel="2">
      <c r="B576" s="155" t="s">
        <v>98</v>
      </c>
      <c r="C576" s="8" t="s">
        <v>10</v>
      </c>
      <c r="D576" s="3"/>
      <c r="E576" s="4"/>
      <c r="F576" s="4"/>
      <c r="G576" s="4"/>
      <c r="H576" s="4"/>
    </row>
    <row r="577" spans="1:8" ht="15.75" hidden="1" customHeight="1" outlineLevel="2">
      <c r="B577" s="155" t="s">
        <v>98</v>
      </c>
      <c r="C577" s="8" t="s">
        <v>11</v>
      </c>
      <c r="D577" s="3">
        <f>113+136</f>
        <v>249</v>
      </c>
      <c r="E577" s="4">
        <f>89+24</f>
        <v>113</v>
      </c>
      <c r="F577" s="4">
        <v>136</v>
      </c>
      <c r="G577" s="4"/>
      <c r="H577" s="4"/>
    </row>
    <row r="578" spans="1:8" ht="15.75" hidden="1" customHeight="1" outlineLevel="2">
      <c r="B578" s="155" t="s">
        <v>98</v>
      </c>
      <c r="C578" s="8" t="s">
        <v>12</v>
      </c>
      <c r="D578" s="3"/>
      <c r="E578" s="4"/>
      <c r="F578" s="4"/>
      <c r="G578" s="4"/>
      <c r="H578" s="4"/>
    </row>
    <row r="579" spans="1:8" ht="15.75" hidden="1" customHeight="1" outlineLevel="2">
      <c r="B579" s="155" t="s">
        <v>98</v>
      </c>
      <c r="C579" s="8" t="s">
        <v>13</v>
      </c>
      <c r="D579" s="3">
        <v>50</v>
      </c>
      <c r="E579" s="4"/>
      <c r="F579" s="4"/>
      <c r="G579" s="4">
        <v>12</v>
      </c>
      <c r="H579" s="4">
        <f>13+25</f>
        <v>38</v>
      </c>
    </row>
    <row r="580" spans="1:8" ht="15.75" hidden="1" customHeight="1" outlineLevel="2">
      <c r="B580" s="155" t="s">
        <v>98</v>
      </c>
      <c r="C580" s="8" t="s">
        <v>14</v>
      </c>
      <c r="D580" s="3">
        <f>2044-113-489</f>
        <v>1442</v>
      </c>
      <c r="E580" s="4">
        <f>170+33</f>
        <v>203</v>
      </c>
      <c r="F580" s="4">
        <v>244</v>
      </c>
      <c r="G580" s="4">
        <v>497</v>
      </c>
      <c r="H580" s="4">
        <f>539+448-489</f>
        <v>498</v>
      </c>
    </row>
    <row r="581" spans="1:8" ht="15.75" hidden="1" customHeight="1" outlineLevel="2">
      <c r="B581" s="155" t="s">
        <v>98</v>
      </c>
      <c r="C581" s="8" t="s">
        <v>15</v>
      </c>
      <c r="D581" s="3"/>
      <c r="E581" s="4"/>
      <c r="F581" s="4"/>
      <c r="G581" s="4"/>
      <c r="H581" s="4"/>
    </row>
    <row r="582" spans="1:8" ht="15.75" hidden="1" customHeight="1" outlineLevel="2">
      <c r="B582" s="155" t="s">
        <v>98</v>
      </c>
      <c r="C582" s="8" t="s">
        <v>16</v>
      </c>
      <c r="D582" s="3"/>
      <c r="E582" s="4"/>
      <c r="F582" s="4"/>
      <c r="G582" s="4"/>
      <c r="H582" s="4"/>
    </row>
    <row r="583" spans="1:8" ht="15.75" hidden="1" customHeight="1" outlineLevel="2">
      <c r="B583" s="155" t="s">
        <v>98</v>
      </c>
      <c r="C583" s="8" t="s">
        <v>17</v>
      </c>
      <c r="D583" s="3">
        <f>900-136+242</f>
        <v>1006</v>
      </c>
      <c r="E583" s="4">
        <f>170+33</f>
        <v>203</v>
      </c>
      <c r="F583" s="4">
        <v>272</v>
      </c>
      <c r="G583" s="4">
        <v>219</v>
      </c>
      <c r="H583" s="4">
        <f>237-31-136+242</f>
        <v>312</v>
      </c>
    </row>
    <row r="584" spans="1:8" ht="15.75" hidden="1" customHeight="1" outlineLevel="2">
      <c r="B584" s="155" t="s">
        <v>98</v>
      </c>
      <c r="C584" s="8" t="s">
        <v>18</v>
      </c>
      <c r="D584" s="3"/>
      <c r="E584" s="4"/>
      <c r="F584" s="4"/>
      <c r="G584" s="4"/>
      <c r="H584" s="4"/>
    </row>
    <row r="585" spans="1:8" ht="15.75" hidden="1" customHeight="1" outlineLevel="2">
      <c r="B585" s="155" t="s">
        <v>98</v>
      </c>
      <c r="C585" s="8" t="s">
        <v>19</v>
      </c>
      <c r="D585" s="3"/>
      <c r="E585" s="4"/>
      <c r="F585" s="4"/>
      <c r="G585" s="4"/>
      <c r="H585" s="4"/>
    </row>
    <row r="586" spans="1:8" ht="15.75" hidden="1" customHeight="1" outlineLevel="2">
      <c r="B586" s="155" t="s">
        <v>98</v>
      </c>
      <c r="C586" s="8" t="s">
        <v>20</v>
      </c>
      <c r="D586" s="3"/>
      <c r="E586" s="4"/>
      <c r="F586" s="4"/>
      <c r="G586" s="4"/>
      <c r="H586" s="4"/>
    </row>
    <row r="587" spans="1:8" ht="15.75" hidden="1" customHeight="1" outlineLevel="2">
      <c r="B587" s="155" t="s">
        <v>98</v>
      </c>
      <c r="C587" s="8" t="s">
        <v>21</v>
      </c>
      <c r="D587" s="3"/>
      <c r="E587" s="4"/>
      <c r="F587" s="4"/>
      <c r="G587" s="4"/>
      <c r="H587" s="4"/>
    </row>
    <row r="588" spans="1:8" ht="15.75" hidden="1" customHeight="1" outlineLevel="2">
      <c r="B588" s="155" t="s">
        <v>98</v>
      </c>
      <c r="C588" s="8" t="s">
        <v>22</v>
      </c>
      <c r="D588" s="3"/>
      <c r="E588" s="4"/>
      <c r="F588" s="4"/>
      <c r="G588" s="4"/>
      <c r="H588" s="4"/>
    </row>
    <row r="589" spans="1:8" ht="15.75" customHeight="1" outlineLevel="1" collapsed="1">
      <c r="A589" s="151">
        <v>1</v>
      </c>
      <c r="B589" s="150" t="s">
        <v>99</v>
      </c>
      <c r="C589" s="8">
        <f t="shared" ref="C589:D589" si="39">SUBTOTAL(9,C575:C588)</f>
        <v>0</v>
      </c>
      <c r="D589" s="3">
        <f t="shared" si="39"/>
        <v>6276</v>
      </c>
      <c r="E589" s="157">
        <f>SUBTOTAL(9,E575:E588)</f>
        <v>1844</v>
      </c>
      <c r="F589" s="157">
        <f>SUBTOTAL(9,F575:F588)</f>
        <v>1806</v>
      </c>
      <c r="G589" s="157">
        <f>SUBTOTAL(9,G575:G588)</f>
        <v>1394</v>
      </c>
      <c r="H589" s="157">
        <f>SUBTOTAL(9,H575:H588)</f>
        <v>1232</v>
      </c>
    </row>
    <row r="590" spans="1:8" ht="15.75" hidden="1" customHeight="1" outlineLevel="2">
      <c r="B590" s="155" t="s">
        <v>100</v>
      </c>
      <c r="C590" s="8" t="s">
        <v>9</v>
      </c>
      <c r="D590" s="3">
        <v>1316</v>
      </c>
      <c r="E590" s="4">
        <v>117</v>
      </c>
      <c r="F590" s="4">
        <v>139</v>
      </c>
      <c r="G590" s="4">
        <v>329</v>
      </c>
      <c r="H590" s="4">
        <f>329+212+190</f>
        <v>731</v>
      </c>
    </row>
    <row r="591" spans="1:8" ht="15.75" hidden="1" customHeight="1" outlineLevel="2">
      <c r="B591" s="155" t="s">
        <v>100</v>
      </c>
      <c r="C591" s="8" t="s">
        <v>10</v>
      </c>
      <c r="D591" s="3">
        <v>339</v>
      </c>
      <c r="E591" s="4"/>
      <c r="F591" s="4"/>
      <c r="G591" s="4">
        <v>85</v>
      </c>
      <c r="H591" s="4">
        <f>84+85+85</f>
        <v>254</v>
      </c>
    </row>
    <row r="592" spans="1:8" ht="15.75" hidden="1" customHeight="1" outlineLevel="2">
      <c r="B592" s="155" t="s">
        <v>100</v>
      </c>
      <c r="C592" s="8" t="s">
        <v>11</v>
      </c>
      <c r="D592" s="3">
        <v>1089</v>
      </c>
      <c r="E592" s="4">
        <v>29</v>
      </c>
      <c r="F592" s="4">
        <v>28</v>
      </c>
      <c r="G592" s="4">
        <v>272</v>
      </c>
      <c r="H592" s="4">
        <f>273+243+244</f>
        <v>760</v>
      </c>
    </row>
    <row r="593" spans="1:8" ht="15.75" hidden="1" customHeight="1" outlineLevel="2">
      <c r="B593" s="155" t="s">
        <v>100</v>
      </c>
      <c r="C593" s="8" t="s">
        <v>12</v>
      </c>
      <c r="D593" s="3"/>
      <c r="E593" s="4"/>
      <c r="F593" s="4"/>
      <c r="G593" s="4"/>
      <c r="H593" s="4"/>
    </row>
    <row r="594" spans="1:8" ht="15.75" hidden="1" customHeight="1" outlineLevel="2">
      <c r="B594" s="155" t="s">
        <v>100</v>
      </c>
      <c r="C594" s="8" t="s">
        <v>13</v>
      </c>
      <c r="D594" s="3"/>
      <c r="E594" s="4"/>
      <c r="F594" s="4"/>
      <c r="G594" s="4"/>
      <c r="H594" s="4"/>
    </row>
    <row r="595" spans="1:8" ht="15.75" hidden="1" customHeight="1" outlineLevel="2">
      <c r="B595" s="155" t="s">
        <v>100</v>
      </c>
      <c r="C595" s="8" t="s">
        <v>14</v>
      </c>
      <c r="D595" s="3">
        <f>25</f>
        <v>25</v>
      </c>
      <c r="E595" s="4"/>
      <c r="F595" s="4">
        <v>25</v>
      </c>
      <c r="G595" s="4"/>
      <c r="H595" s="4"/>
    </row>
    <row r="596" spans="1:8" ht="15.75" hidden="1" customHeight="1" outlineLevel="2">
      <c r="B596" s="155" t="s">
        <v>100</v>
      </c>
      <c r="C596" s="8" t="s">
        <v>15</v>
      </c>
      <c r="D596" s="3">
        <f>1176-25</f>
        <v>1151</v>
      </c>
      <c r="E596" s="4">
        <v>46</v>
      </c>
      <c r="F596" s="4">
        <v>41</v>
      </c>
      <c r="G596" s="4">
        <v>294</v>
      </c>
      <c r="H596" s="4">
        <f>294+248+228</f>
        <v>770</v>
      </c>
    </row>
    <row r="597" spans="1:8" ht="15.75" hidden="1" customHeight="1" outlineLevel="2">
      <c r="B597" s="155" t="s">
        <v>100</v>
      </c>
      <c r="C597" s="8" t="s">
        <v>16</v>
      </c>
      <c r="D597" s="3">
        <v>200</v>
      </c>
      <c r="E597" s="4">
        <v>1</v>
      </c>
      <c r="F597" s="4"/>
      <c r="G597" s="4">
        <v>50</v>
      </c>
      <c r="H597" s="4">
        <f>50+49+50</f>
        <v>149</v>
      </c>
    </row>
    <row r="598" spans="1:8" ht="15.75" hidden="1" customHeight="1" outlineLevel="2">
      <c r="B598" s="155" t="s">
        <v>100</v>
      </c>
      <c r="C598" s="8" t="s">
        <v>17</v>
      </c>
      <c r="D598" s="3">
        <v>1228</v>
      </c>
      <c r="E598" s="4">
        <v>50</v>
      </c>
      <c r="F598" s="4">
        <v>83</v>
      </c>
      <c r="G598" s="4">
        <v>307</v>
      </c>
      <c r="H598" s="4">
        <f>307+257+224</f>
        <v>788</v>
      </c>
    </row>
    <row r="599" spans="1:8" ht="15.75" hidden="1" customHeight="1" outlineLevel="2">
      <c r="B599" s="155" t="s">
        <v>100</v>
      </c>
      <c r="C599" s="8" t="s">
        <v>18</v>
      </c>
      <c r="D599" s="3"/>
      <c r="E599" s="4"/>
      <c r="F599" s="4"/>
      <c r="G599" s="4"/>
      <c r="H599" s="4"/>
    </row>
    <row r="600" spans="1:8" ht="15.75" hidden="1" customHeight="1" outlineLevel="2">
      <c r="B600" s="155" t="s">
        <v>100</v>
      </c>
      <c r="C600" s="8" t="s">
        <v>19</v>
      </c>
      <c r="D600" s="3"/>
      <c r="E600" s="4"/>
      <c r="F600" s="4"/>
      <c r="G600" s="4"/>
      <c r="H600" s="4"/>
    </row>
    <row r="601" spans="1:8" ht="15.75" hidden="1" customHeight="1" outlineLevel="2">
      <c r="B601" s="155" t="s">
        <v>100</v>
      </c>
      <c r="C601" s="8" t="s">
        <v>20</v>
      </c>
      <c r="D601" s="3"/>
      <c r="E601" s="4"/>
      <c r="F601" s="4"/>
      <c r="G601" s="4"/>
      <c r="H601" s="4"/>
    </row>
    <row r="602" spans="1:8" ht="15.75" hidden="1" customHeight="1" outlineLevel="2">
      <c r="B602" s="155" t="s">
        <v>100</v>
      </c>
      <c r="C602" s="8" t="s">
        <v>21</v>
      </c>
      <c r="D602" s="3"/>
      <c r="E602" s="4"/>
      <c r="F602" s="4"/>
      <c r="G602" s="4"/>
      <c r="H602" s="4"/>
    </row>
    <row r="603" spans="1:8" ht="15.75" hidden="1" customHeight="1" outlineLevel="2">
      <c r="B603" s="155" t="s">
        <v>100</v>
      </c>
      <c r="C603" s="8" t="s">
        <v>22</v>
      </c>
      <c r="D603" s="3"/>
      <c r="E603" s="4"/>
      <c r="F603" s="4"/>
      <c r="G603" s="4"/>
      <c r="H603" s="4"/>
    </row>
    <row r="604" spans="1:8" ht="15.75" customHeight="1" outlineLevel="1" collapsed="1">
      <c r="A604" s="151">
        <v>1</v>
      </c>
      <c r="B604" s="150" t="s">
        <v>101</v>
      </c>
      <c r="C604" s="8">
        <f t="shared" ref="C604:D604" si="40">SUBTOTAL(9,C590:C603)</f>
        <v>0</v>
      </c>
      <c r="D604" s="3">
        <f t="shared" si="40"/>
        <v>5348</v>
      </c>
      <c r="E604" s="157">
        <f>SUBTOTAL(9,E590:E603)</f>
        <v>243</v>
      </c>
      <c r="F604" s="157">
        <f>SUBTOTAL(9,F590:F603)</f>
        <v>316</v>
      </c>
      <c r="G604" s="157">
        <f>SUBTOTAL(9,G590:G603)</f>
        <v>1337</v>
      </c>
      <c r="H604" s="157">
        <f>SUBTOTAL(9,H590:H603)</f>
        <v>3452</v>
      </c>
    </row>
    <row r="605" spans="1:8" ht="15.75" hidden="1" customHeight="1" outlineLevel="2">
      <c r="B605" s="155" t="s">
        <v>102</v>
      </c>
      <c r="C605" s="8" t="s">
        <v>9</v>
      </c>
      <c r="D605" s="3">
        <v>2550</v>
      </c>
      <c r="E605" s="4">
        <v>341</v>
      </c>
      <c r="F605" s="4">
        <v>406</v>
      </c>
      <c r="G605" s="4">
        <v>638</v>
      </c>
      <c r="H605" s="4">
        <f>637+528</f>
        <v>1165</v>
      </c>
    </row>
    <row r="606" spans="1:8" ht="15.75" hidden="1" customHeight="1" outlineLevel="2">
      <c r="B606" s="155" t="s">
        <v>102</v>
      </c>
      <c r="C606" s="8" t="s">
        <v>10</v>
      </c>
      <c r="D606" s="3"/>
      <c r="E606" s="4"/>
      <c r="F606" s="4"/>
      <c r="G606" s="4"/>
      <c r="H606" s="4"/>
    </row>
    <row r="607" spans="1:8" ht="15.75" hidden="1" customHeight="1" outlineLevel="2">
      <c r="B607" s="155" t="s">
        <v>102</v>
      </c>
      <c r="C607" s="8" t="s">
        <v>11</v>
      </c>
      <c r="D607" s="3"/>
      <c r="E607" s="4"/>
      <c r="F607" s="4"/>
      <c r="G607" s="4"/>
      <c r="H607" s="4"/>
    </row>
    <row r="608" spans="1:8" ht="15.75" hidden="1" customHeight="1" outlineLevel="2">
      <c r="B608" s="155" t="s">
        <v>102</v>
      </c>
      <c r="C608" s="8" t="s">
        <v>12</v>
      </c>
      <c r="D608" s="3"/>
      <c r="E608" s="4"/>
      <c r="F608" s="4"/>
      <c r="G608" s="4"/>
      <c r="H608" s="4"/>
    </row>
    <row r="609" spans="1:8" ht="15.75" hidden="1" customHeight="1" outlineLevel="2">
      <c r="B609" s="155" t="s">
        <v>102</v>
      </c>
      <c r="C609" s="8" t="s">
        <v>13</v>
      </c>
      <c r="D609" s="3">
        <f>900-169-203</f>
        <v>528</v>
      </c>
      <c r="E609" s="4">
        <v>29</v>
      </c>
      <c r="F609" s="4">
        <v>7</v>
      </c>
      <c r="G609" s="4">
        <v>224</v>
      </c>
      <c r="H609" s="4">
        <f>226+42</f>
        <v>268</v>
      </c>
    </row>
    <row r="610" spans="1:8" ht="15.75" hidden="1" customHeight="1" outlineLevel="2">
      <c r="B610" s="155" t="s">
        <v>102</v>
      </c>
      <c r="C610" s="8" t="s">
        <v>14</v>
      </c>
      <c r="D610" s="3">
        <f>150-35</f>
        <v>115</v>
      </c>
      <c r="E610" s="4">
        <v>3</v>
      </c>
      <c r="F610" s="4">
        <v>1</v>
      </c>
      <c r="G610" s="4">
        <v>38</v>
      </c>
      <c r="H610" s="4">
        <f>36+37</f>
        <v>73</v>
      </c>
    </row>
    <row r="611" spans="1:8" ht="15.75" hidden="1" customHeight="1" outlineLevel="2">
      <c r="B611" s="155" t="s">
        <v>102</v>
      </c>
      <c r="C611" s="8" t="s">
        <v>15</v>
      </c>
      <c r="D611" s="3"/>
      <c r="E611" s="4"/>
      <c r="F611" s="4"/>
      <c r="G611" s="4"/>
      <c r="H611" s="4"/>
    </row>
    <row r="612" spans="1:8" ht="15.75" hidden="1" customHeight="1" outlineLevel="2">
      <c r="B612" s="155" t="s">
        <v>102</v>
      </c>
      <c r="C612" s="8" t="s">
        <v>16</v>
      </c>
      <c r="D612" s="3"/>
      <c r="E612" s="4"/>
      <c r="F612" s="4"/>
      <c r="G612" s="4"/>
      <c r="H612" s="4"/>
    </row>
    <row r="613" spans="1:8" ht="15.75" hidden="1" customHeight="1" outlineLevel="2">
      <c r="B613" s="155" t="s">
        <v>102</v>
      </c>
      <c r="C613" s="8" t="s">
        <v>17</v>
      </c>
      <c r="D613" s="3">
        <f>650+35+169+203</f>
        <v>1057</v>
      </c>
      <c r="E613" s="4">
        <v>366</v>
      </c>
      <c r="F613" s="4">
        <v>367</v>
      </c>
      <c r="G613" s="4">
        <v>163</v>
      </c>
      <c r="H613" s="4">
        <v>161</v>
      </c>
    </row>
    <row r="614" spans="1:8" ht="15.75" hidden="1" customHeight="1" outlineLevel="2">
      <c r="B614" s="155" t="s">
        <v>102</v>
      </c>
      <c r="C614" s="8" t="s">
        <v>18</v>
      </c>
      <c r="D614" s="3"/>
      <c r="E614" s="4"/>
      <c r="F614" s="4"/>
      <c r="G614" s="4"/>
      <c r="H614" s="4"/>
    </row>
    <row r="615" spans="1:8" ht="15.75" hidden="1" customHeight="1" outlineLevel="2">
      <c r="B615" s="155" t="s">
        <v>102</v>
      </c>
      <c r="C615" s="8" t="s">
        <v>19</v>
      </c>
      <c r="D615" s="3"/>
      <c r="E615" s="4"/>
      <c r="F615" s="4"/>
      <c r="G615" s="4"/>
      <c r="H615" s="4"/>
    </row>
    <row r="616" spans="1:8" ht="15.75" hidden="1" customHeight="1" outlineLevel="2">
      <c r="B616" s="155" t="s">
        <v>102</v>
      </c>
      <c r="C616" s="8" t="s">
        <v>20</v>
      </c>
      <c r="D616" s="3">
        <v>2172</v>
      </c>
      <c r="E616" s="4">
        <v>414</v>
      </c>
      <c r="F616" s="4">
        <v>455</v>
      </c>
      <c r="G616" s="4">
        <v>543</v>
      </c>
      <c r="H616" s="4">
        <f>544+216</f>
        <v>760</v>
      </c>
    </row>
    <row r="617" spans="1:8" ht="15.75" hidden="1" customHeight="1" outlineLevel="2">
      <c r="B617" s="155" t="s">
        <v>102</v>
      </c>
      <c r="C617" s="8" t="s">
        <v>21</v>
      </c>
      <c r="D617" s="3"/>
      <c r="E617" s="4"/>
      <c r="F617" s="4"/>
      <c r="G617" s="4"/>
      <c r="H617" s="4"/>
    </row>
    <row r="618" spans="1:8" ht="15.75" hidden="1" customHeight="1" outlineLevel="2">
      <c r="B618" s="155" t="s">
        <v>102</v>
      </c>
      <c r="C618" s="8" t="s">
        <v>22</v>
      </c>
      <c r="D618" s="3"/>
      <c r="E618" s="4"/>
      <c r="F618" s="4"/>
      <c r="G618" s="4"/>
      <c r="H618" s="4"/>
    </row>
    <row r="619" spans="1:8" ht="15.75" customHeight="1" outlineLevel="1" collapsed="1">
      <c r="A619" s="151">
        <v>1</v>
      </c>
      <c r="B619" s="150" t="s">
        <v>103</v>
      </c>
      <c r="C619" s="8">
        <f t="shared" ref="C619:D619" si="41">SUBTOTAL(9,C605:C618)</f>
        <v>0</v>
      </c>
      <c r="D619" s="3">
        <f t="shared" si="41"/>
        <v>6422</v>
      </c>
      <c r="E619" s="157">
        <f>SUBTOTAL(9,E605:E618)</f>
        <v>1153</v>
      </c>
      <c r="F619" s="157">
        <f>SUBTOTAL(9,F605:F618)</f>
        <v>1236</v>
      </c>
      <c r="G619" s="157">
        <f>SUBTOTAL(9,G605:G618)</f>
        <v>1606</v>
      </c>
      <c r="H619" s="157">
        <f>SUBTOTAL(9,H605:H618)</f>
        <v>2427</v>
      </c>
    </row>
    <row r="620" spans="1:8" ht="15.75" hidden="1" customHeight="1" outlineLevel="2">
      <c r="B620" s="155" t="s">
        <v>104</v>
      </c>
      <c r="C620" s="8" t="s">
        <v>9</v>
      </c>
      <c r="D620" s="3">
        <v>4084</v>
      </c>
      <c r="E620" s="4">
        <v>412</v>
      </c>
      <c r="F620" s="4">
        <v>470</v>
      </c>
      <c r="G620" s="4">
        <v>1021</v>
      </c>
      <c r="H620" s="4">
        <f>1021+695+465</f>
        <v>2181</v>
      </c>
    </row>
    <row r="621" spans="1:8" ht="15.75" hidden="1" customHeight="1" outlineLevel="2">
      <c r="B621" s="155" t="s">
        <v>104</v>
      </c>
      <c r="C621" s="8" t="s">
        <v>10</v>
      </c>
      <c r="D621" s="3">
        <v>5</v>
      </c>
      <c r="E621" s="4"/>
      <c r="F621" s="4"/>
      <c r="G621" s="4">
        <v>1</v>
      </c>
      <c r="H621" s="4">
        <f>2+1+1</f>
        <v>4</v>
      </c>
    </row>
    <row r="622" spans="1:8" ht="15.75" hidden="1" customHeight="1" outlineLevel="2">
      <c r="B622" s="155" t="s">
        <v>104</v>
      </c>
      <c r="C622" s="8" t="s">
        <v>11</v>
      </c>
      <c r="D622" s="3">
        <v>250</v>
      </c>
      <c r="E622" s="4">
        <v>35</v>
      </c>
      <c r="F622" s="4">
        <v>38</v>
      </c>
      <c r="G622" s="4">
        <v>63</v>
      </c>
      <c r="H622" s="4">
        <f>61+28+25</f>
        <v>114</v>
      </c>
    </row>
    <row r="623" spans="1:8" ht="15.75" hidden="1" customHeight="1" outlineLevel="2">
      <c r="B623" s="155" t="s">
        <v>104</v>
      </c>
      <c r="C623" s="8" t="s">
        <v>12</v>
      </c>
      <c r="D623" s="3">
        <v>5</v>
      </c>
      <c r="E623" s="4"/>
      <c r="F623" s="4"/>
      <c r="G623" s="4">
        <v>1</v>
      </c>
      <c r="H623" s="4">
        <f>2+1+1</f>
        <v>4</v>
      </c>
    </row>
    <row r="624" spans="1:8" ht="15.75" hidden="1" customHeight="1" outlineLevel="2">
      <c r="B624" s="155" t="s">
        <v>104</v>
      </c>
      <c r="C624" s="8" t="s">
        <v>13</v>
      </c>
      <c r="D624" s="3">
        <v>10</v>
      </c>
      <c r="E624" s="4"/>
      <c r="F624" s="4"/>
      <c r="G624" s="4">
        <v>3</v>
      </c>
      <c r="H624" s="4">
        <f>1+3+3</f>
        <v>7</v>
      </c>
    </row>
    <row r="625" spans="1:8" ht="15.75" hidden="1" customHeight="1" outlineLevel="2">
      <c r="B625" s="155" t="s">
        <v>104</v>
      </c>
      <c r="C625" s="8" t="s">
        <v>14</v>
      </c>
      <c r="D625" s="3">
        <v>400</v>
      </c>
      <c r="E625" s="4">
        <v>66</v>
      </c>
      <c r="F625" s="4">
        <v>60</v>
      </c>
      <c r="G625" s="4">
        <v>100</v>
      </c>
      <c r="H625" s="4">
        <f>100+34+40</f>
        <v>174</v>
      </c>
    </row>
    <row r="626" spans="1:8" ht="15.75" hidden="1" customHeight="1" outlineLevel="2">
      <c r="B626" s="155" t="s">
        <v>104</v>
      </c>
      <c r="C626" s="8" t="s">
        <v>15</v>
      </c>
      <c r="D626" s="3">
        <v>200</v>
      </c>
      <c r="E626" s="4">
        <v>35</v>
      </c>
      <c r="F626" s="4">
        <v>38</v>
      </c>
      <c r="G626" s="4">
        <v>50</v>
      </c>
      <c r="H626" s="4">
        <f>50+15+12</f>
        <v>77</v>
      </c>
    </row>
    <row r="627" spans="1:8" ht="15.75" hidden="1" customHeight="1" outlineLevel="2">
      <c r="B627" s="155" t="s">
        <v>104</v>
      </c>
      <c r="C627" s="8" t="s">
        <v>16</v>
      </c>
      <c r="D627" s="3">
        <v>5</v>
      </c>
      <c r="E627" s="4"/>
      <c r="F627" s="4">
        <v>1</v>
      </c>
      <c r="G627" s="4">
        <v>1</v>
      </c>
      <c r="H627" s="4">
        <f>2+1</f>
        <v>3</v>
      </c>
    </row>
    <row r="628" spans="1:8" ht="15.75" hidden="1" customHeight="1" outlineLevel="2">
      <c r="B628" s="155" t="s">
        <v>104</v>
      </c>
      <c r="C628" s="8" t="s">
        <v>17</v>
      </c>
      <c r="D628" s="3">
        <v>500</v>
      </c>
      <c r="E628" s="4">
        <v>84</v>
      </c>
      <c r="F628" s="4">
        <v>81</v>
      </c>
      <c r="G628" s="4">
        <v>125</v>
      </c>
      <c r="H628" s="4">
        <f>125+41+44</f>
        <v>210</v>
      </c>
    </row>
    <row r="629" spans="1:8" ht="15.75" hidden="1" customHeight="1" outlineLevel="2">
      <c r="B629" s="155" t="s">
        <v>104</v>
      </c>
      <c r="C629" s="8" t="s">
        <v>18</v>
      </c>
      <c r="D629" s="3"/>
      <c r="E629" s="4"/>
      <c r="F629" s="4"/>
      <c r="G629" s="4"/>
      <c r="H629" s="4"/>
    </row>
    <row r="630" spans="1:8" ht="15.75" hidden="1" customHeight="1" outlineLevel="2">
      <c r="B630" s="155" t="s">
        <v>104</v>
      </c>
      <c r="C630" s="8" t="s">
        <v>19</v>
      </c>
      <c r="D630" s="3"/>
      <c r="E630" s="4"/>
      <c r="F630" s="4"/>
      <c r="G630" s="4"/>
      <c r="H630" s="4"/>
    </row>
    <row r="631" spans="1:8" ht="15.75" hidden="1" customHeight="1" outlineLevel="2">
      <c r="B631" s="155" t="s">
        <v>104</v>
      </c>
      <c r="C631" s="8" t="s">
        <v>20</v>
      </c>
      <c r="D631" s="3">
        <v>40</v>
      </c>
      <c r="E631" s="4"/>
      <c r="F631" s="4"/>
      <c r="G631" s="4">
        <v>10</v>
      </c>
      <c r="H631" s="4">
        <f>10+10+10</f>
        <v>30</v>
      </c>
    </row>
    <row r="632" spans="1:8" ht="15.75" hidden="1" customHeight="1" outlineLevel="2">
      <c r="B632" s="155" t="s">
        <v>104</v>
      </c>
      <c r="C632" s="8" t="s">
        <v>21</v>
      </c>
      <c r="D632" s="3"/>
      <c r="E632" s="4"/>
      <c r="F632" s="4"/>
      <c r="G632" s="4"/>
      <c r="H632" s="4"/>
    </row>
    <row r="633" spans="1:8" ht="15.75" hidden="1" customHeight="1" outlineLevel="2">
      <c r="B633" s="155" t="s">
        <v>104</v>
      </c>
      <c r="C633" s="8" t="s">
        <v>22</v>
      </c>
      <c r="D633" s="3"/>
      <c r="E633" s="4"/>
      <c r="F633" s="4"/>
      <c r="G633" s="4"/>
      <c r="H633" s="4"/>
    </row>
    <row r="634" spans="1:8" ht="15.75" customHeight="1" outlineLevel="1" collapsed="1">
      <c r="A634" s="151">
        <v>1</v>
      </c>
      <c r="B634" s="150" t="s">
        <v>105</v>
      </c>
      <c r="C634" s="8">
        <f t="shared" ref="C634:D634" si="42">SUBTOTAL(9,C620:C633)</f>
        <v>0</v>
      </c>
      <c r="D634" s="3">
        <f t="shared" si="42"/>
        <v>5499</v>
      </c>
      <c r="E634" s="157">
        <f>SUBTOTAL(9,E620:E633)</f>
        <v>632</v>
      </c>
      <c r="F634" s="157">
        <f>SUBTOTAL(9,F620:F633)</f>
        <v>688</v>
      </c>
      <c r="G634" s="157">
        <f>SUBTOTAL(9,G620:G633)</f>
        <v>1375</v>
      </c>
      <c r="H634" s="157">
        <f>SUBTOTAL(9,H620:H633)</f>
        <v>2804</v>
      </c>
    </row>
    <row r="635" spans="1:8" ht="15.75" hidden="1" customHeight="1" outlineLevel="2">
      <c r="B635" s="155" t="s">
        <v>106</v>
      </c>
      <c r="C635" s="8" t="s">
        <v>9</v>
      </c>
      <c r="D635" s="3">
        <v>1297</v>
      </c>
      <c r="E635" s="4">
        <v>179</v>
      </c>
      <c r="F635" s="4">
        <v>280</v>
      </c>
      <c r="G635" s="4">
        <v>324</v>
      </c>
      <c r="H635" s="4">
        <f>325+145+44</f>
        <v>514</v>
      </c>
    </row>
    <row r="636" spans="1:8" ht="15.75" hidden="1" customHeight="1" outlineLevel="2">
      <c r="B636" s="155" t="s">
        <v>106</v>
      </c>
      <c r="C636" s="8" t="s">
        <v>10</v>
      </c>
      <c r="D636" s="3"/>
      <c r="E636" s="4"/>
      <c r="F636" s="4"/>
      <c r="G636" s="4"/>
      <c r="H636" s="4"/>
    </row>
    <row r="637" spans="1:8" ht="15.75" hidden="1" customHeight="1" outlineLevel="2">
      <c r="B637" s="155" t="s">
        <v>106</v>
      </c>
      <c r="C637" s="8" t="s">
        <v>11</v>
      </c>
      <c r="D637" s="3">
        <f>1</f>
        <v>1</v>
      </c>
      <c r="E637" s="4"/>
      <c r="F637" s="4">
        <v>1</v>
      </c>
      <c r="G637" s="4"/>
      <c r="H637" s="4"/>
    </row>
    <row r="638" spans="1:8" ht="15.75" hidden="1" customHeight="1" outlineLevel="2">
      <c r="B638" s="155" t="s">
        <v>106</v>
      </c>
      <c r="C638" s="8" t="s">
        <v>12</v>
      </c>
      <c r="D638" s="3">
        <f>20-3</f>
        <v>17</v>
      </c>
      <c r="E638" s="4">
        <v>2</v>
      </c>
      <c r="F638" s="4">
        <v>3</v>
      </c>
      <c r="G638" s="4">
        <v>5</v>
      </c>
      <c r="H638" s="4">
        <f>5+3+1-2</f>
        <v>7</v>
      </c>
    </row>
    <row r="639" spans="1:8" ht="15.75" hidden="1" customHeight="1" outlineLevel="2">
      <c r="B639" s="155" t="s">
        <v>106</v>
      </c>
      <c r="C639" s="8" t="s">
        <v>13</v>
      </c>
      <c r="D639" s="3">
        <v>5</v>
      </c>
      <c r="E639" s="4"/>
      <c r="F639" s="4"/>
      <c r="G639" s="4">
        <v>1</v>
      </c>
      <c r="H639" s="4">
        <f>2+1+1</f>
        <v>4</v>
      </c>
    </row>
    <row r="640" spans="1:8" ht="15.75" hidden="1" customHeight="1" outlineLevel="2">
      <c r="B640" s="155" t="s">
        <v>106</v>
      </c>
      <c r="C640" s="8" t="s">
        <v>14</v>
      </c>
      <c r="D640" s="3">
        <v>10</v>
      </c>
      <c r="E640" s="4"/>
      <c r="F640" s="4">
        <v>1</v>
      </c>
      <c r="G640" s="4">
        <v>3</v>
      </c>
      <c r="H640" s="4">
        <f>1+3+2</f>
        <v>6</v>
      </c>
    </row>
    <row r="641" spans="1:8" ht="15.75" hidden="1" customHeight="1" outlineLevel="2">
      <c r="B641" s="155" t="s">
        <v>106</v>
      </c>
      <c r="C641" s="8" t="s">
        <v>15</v>
      </c>
      <c r="D641" s="3">
        <v>10</v>
      </c>
      <c r="E641" s="4">
        <v>4</v>
      </c>
      <c r="F641" s="4">
        <v>1</v>
      </c>
      <c r="G641" s="4">
        <v>3</v>
      </c>
      <c r="H641" s="4">
        <f>1-1+2</f>
        <v>2</v>
      </c>
    </row>
    <row r="642" spans="1:8" ht="15.75" hidden="1" customHeight="1" outlineLevel="2">
      <c r="B642" s="155" t="s">
        <v>106</v>
      </c>
      <c r="C642" s="8" t="s">
        <v>16</v>
      </c>
      <c r="D642" s="3">
        <f>2</f>
        <v>2</v>
      </c>
      <c r="E642" s="4"/>
      <c r="F642" s="4">
        <v>2</v>
      </c>
      <c r="G642" s="4"/>
      <c r="H642" s="4"/>
    </row>
    <row r="643" spans="1:8" ht="15.75" hidden="1" customHeight="1" outlineLevel="2">
      <c r="B643" s="155" t="s">
        <v>106</v>
      </c>
      <c r="C643" s="8" t="s">
        <v>17</v>
      </c>
      <c r="D643" s="3">
        <v>770</v>
      </c>
      <c r="E643" s="4">
        <v>126</v>
      </c>
      <c r="F643" s="4">
        <v>113</v>
      </c>
      <c r="G643" s="4">
        <v>193</v>
      </c>
      <c r="H643" s="4">
        <f>192+67+79</f>
        <v>338</v>
      </c>
    </row>
    <row r="644" spans="1:8" ht="15.75" hidden="1" customHeight="1" outlineLevel="2">
      <c r="B644" s="155" t="s">
        <v>106</v>
      </c>
      <c r="C644" s="8" t="s">
        <v>18</v>
      </c>
      <c r="D644" s="3">
        <v>10</v>
      </c>
      <c r="E644" s="4">
        <v>2</v>
      </c>
      <c r="F644" s="4"/>
      <c r="G644" s="4">
        <v>3</v>
      </c>
      <c r="H644" s="4">
        <f>1+1+3</f>
        <v>5</v>
      </c>
    </row>
    <row r="645" spans="1:8" ht="15.75" hidden="1" customHeight="1" outlineLevel="2">
      <c r="B645" s="155" t="s">
        <v>106</v>
      </c>
      <c r="C645" s="8" t="s">
        <v>19</v>
      </c>
      <c r="D645" s="3">
        <v>140</v>
      </c>
      <c r="E645" s="4">
        <v>1</v>
      </c>
      <c r="F645" s="4">
        <v>1</v>
      </c>
      <c r="G645" s="4">
        <v>35</v>
      </c>
      <c r="H645" s="4">
        <f>35+34+34</f>
        <v>103</v>
      </c>
    </row>
    <row r="646" spans="1:8" ht="15.75" hidden="1" customHeight="1" outlineLevel="2">
      <c r="B646" s="155" t="s">
        <v>106</v>
      </c>
      <c r="C646" s="8" t="s">
        <v>20</v>
      </c>
      <c r="D646" s="3">
        <v>1720</v>
      </c>
      <c r="E646" s="4">
        <v>206</v>
      </c>
      <c r="F646" s="4">
        <v>245</v>
      </c>
      <c r="G646" s="4">
        <v>429</v>
      </c>
      <c r="H646" s="4">
        <f>432+223+185</f>
        <v>840</v>
      </c>
    </row>
    <row r="647" spans="1:8" ht="15.75" hidden="1" customHeight="1" outlineLevel="2">
      <c r="B647" s="155" t="s">
        <v>106</v>
      </c>
      <c r="C647" s="8" t="s">
        <v>21</v>
      </c>
      <c r="D647" s="3"/>
      <c r="E647" s="4"/>
      <c r="F647" s="4"/>
      <c r="G647" s="4"/>
      <c r="H647" s="4"/>
    </row>
    <row r="648" spans="1:8" ht="15.75" hidden="1" customHeight="1" outlineLevel="2">
      <c r="B648" s="155" t="s">
        <v>106</v>
      </c>
      <c r="C648" s="8" t="s">
        <v>22</v>
      </c>
      <c r="D648" s="3"/>
      <c r="E648" s="4"/>
      <c r="F648" s="4"/>
      <c r="G648" s="4"/>
      <c r="H648" s="4"/>
    </row>
    <row r="649" spans="1:8" ht="15.75" customHeight="1" outlineLevel="1" collapsed="1">
      <c r="A649" s="151">
        <v>1</v>
      </c>
      <c r="B649" s="150" t="s">
        <v>107</v>
      </c>
      <c r="C649" s="8">
        <f t="shared" ref="C649:D649" si="43">SUBTOTAL(9,C635:C648)</f>
        <v>0</v>
      </c>
      <c r="D649" s="3">
        <f t="shared" si="43"/>
        <v>3982</v>
      </c>
      <c r="E649" s="157">
        <f>SUBTOTAL(9,E635:E648)</f>
        <v>520</v>
      </c>
      <c r="F649" s="157">
        <f>SUBTOTAL(9,F635:F648)</f>
        <v>647</v>
      </c>
      <c r="G649" s="157">
        <f>SUBTOTAL(9,G635:G648)</f>
        <v>996</v>
      </c>
      <c r="H649" s="157">
        <f>SUBTOTAL(9,H635:H648)</f>
        <v>1819</v>
      </c>
    </row>
    <row r="650" spans="1:8" ht="15.75" hidden="1" customHeight="1" outlineLevel="2">
      <c r="B650" s="155" t="s">
        <v>108</v>
      </c>
      <c r="C650" s="8" t="s">
        <v>9</v>
      </c>
      <c r="D650" s="3">
        <f>464+140+1394</f>
        <v>1998</v>
      </c>
      <c r="E650" s="4">
        <v>462</v>
      </c>
      <c r="F650" s="4">
        <v>465</v>
      </c>
      <c r="G650" s="4">
        <v>450</v>
      </c>
      <c r="H650" s="4">
        <f>485+59+77</f>
        <v>621</v>
      </c>
    </row>
    <row r="651" spans="1:8" ht="15.75" hidden="1" customHeight="1" outlineLevel="2">
      <c r="B651" s="155" t="s">
        <v>108</v>
      </c>
      <c r="C651" s="8" t="s">
        <v>10</v>
      </c>
      <c r="D651" s="3">
        <f>1120-280-196-140</f>
        <v>504</v>
      </c>
      <c r="E651" s="4"/>
      <c r="F651" s="4"/>
      <c r="G651" s="4">
        <f>280-200</f>
        <v>80</v>
      </c>
      <c r="H651" s="4">
        <f>280-196+340</f>
        <v>424</v>
      </c>
    </row>
    <row r="652" spans="1:8" ht="15.75" hidden="1" customHeight="1" outlineLevel="2">
      <c r="B652" s="155" t="s">
        <v>108</v>
      </c>
      <c r="C652" s="8" t="s">
        <v>11</v>
      </c>
      <c r="D652" s="3"/>
      <c r="E652" s="4"/>
      <c r="F652" s="4"/>
      <c r="G652" s="4"/>
      <c r="H652" s="4"/>
    </row>
    <row r="653" spans="1:8" ht="15.75" hidden="1" customHeight="1" outlineLevel="2">
      <c r="B653" s="155" t="s">
        <v>108</v>
      </c>
      <c r="C653" s="8" t="s">
        <v>12</v>
      </c>
      <c r="D653" s="3"/>
      <c r="E653" s="4"/>
      <c r="F653" s="4"/>
      <c r="G653" s="4"/>
      <c r="H653" s="4"/>
    </row>
    <row r="654" spans="1:8" ht="15.75" hidden="1" customHeight="1" outlineLevel="2">
      <c r="B654" s="155" t="s">
        <v>108</v>
      </c>
      <c r="C654" s="8" t="s">
        <v>13</v>
      </c>
      <c r="D654" s="3">
        <f>30+12+12</f>
        <v>54</v>
      </c>
      <c r="E654" s="4">
        <f>12+8</f>
        <v>20</v>
      </c>
      <c r="F654" s="4">
        <v>20</v>
      </c>
      <c r="G654" s="4">
        <f>8</f>
        <v>8</v>
      </c>
      <c r="H654" s="4">
        <f>6</f>
        <v>6</v>
      </c>
    </row>
    <row r="655" spans="1:8" ht="15.75" hidden="1" customHeight="1" outlineLevel="2">
      <c r="B655" s="155" t="s">
        <v>108</v>
      </c>
      <c r="C655" s="8" t="s">
        <v>14</v>
      </c>
      <c r="D655" s="3"/>
      <c r="E655" s="4"/>
      <c r="F655" s="4"/>
      <c r="G655" s="4"/>
      <c r="H655" s="4"/>
    </row>
    <row r="656" spans="1:8" ht="15.75" hidden="1" customHeight="1" outlineLevel="2">
      <c r="B656" s="155" t="s">
        <v>108</v>
      </c>
      <c r="C656" s="8" t="s">
        <v>15</v>
      </c>
      <c r="D656" s="3"/>
      <c r="E656" s="4"/>
      <c r="F656" s="4"/>
      <c r="G656" s="4"/>
      <c r="H656" s="4"/>
    </row>
    <row r="657" spans="1:8" ht="15.75" hidden="1" customHeight="1" outlineLevel="2">
      <c r="B657" s="155" t="s">
        <v>108</v>
      </c>
      <c r="C657" s="8" t="s">
        <v>16</v>
      </c>
      <c r="D657" s="3"/>
      <c r="E657" s="4"/>
      <c r="F657" s="4"/>
      <c r="G657" s="4"/>
      <c r="H657" s="4"/>
    </row>
    <row r="658" spans="1:8" ht="15.75" hidden="1" customHeight="1" outlineLevel="2">
      <c r="B658" s="155" t="s">
        <v>108</v>
      </c>
      <c r="C658" s="8" t="s">
        <v>17</v>
      </c>
      <c r="D658" s="3">
        <f>840+205-12</f>
        <v>1033</v>
      </c>
      <c r="E658" s="4">
        <f>177+98</f>
        <v>275</v>
      </c>
      <c r="F658" s="4">
        <v>481</v>
      </c>
      <c r="G658" s="4">
        <f>210-100</f>
        <v>110</v>
      </c>
      <c r="H658" s="4">
        <f>210-65-100+105+17</f>
        <v>167</v>
      </c>
    </row>
    <row r="659" spans="1:8" ht="15.75" hidden="1" customHeight="1" outlineLevel="2">
      <c r="B659" s="155" t="s">
        <v>108</v>
      </c>
      <c r="C659" s="8" t="s">
        <v>18</v>
      </c>
      <c r="D659" s="3"/>
      <c r="E659" s="4"/>
      <c r="F659" s="4"/>
      <c r="G659" s="4"/>
      <c r="H659" s="4"/>
    </row>
    <row r="660" spans="1:8" ht="15.75" hidden="1" customHeight="1" outlineLevel="2">
      <c r="B660" s="155" t="s">
        <v>108</v>
      </c>
      <c r="C660" s="8" t="s">
        <v>19</v>
      </c>
      <c r="D660" s="3"/>
      <c r="E660" s="4"/>
      <c r="F660" s="4"/>
      <c r="G660" s="4"/>
      <c r="H660" s="4"/>
    </row>
    <row r="661" spans="1:8" ht="15.75" hidden="1" customHeight="1" outlineLevel="2">
      <c r="B661" s="155" t="s">
        <v>108</v>
      </c>
      <c r="C661" s="8" t="s">
        <v>20</v>
      </c>
      <c r="D661" s="3">
        <f>840+1394</f>
        <v>2234</v>
      </c>
      <c r="E661" s="4">
        <f>207+129</f>
        <v>336</v>
      </c>
      <c r="F661" s="4">
        <v>403</v>
      </c>
      <c r="G661" s="4">
        <f>210-100+550</f>
        <v>660</v>
      </c>
      <c r="H661" s="4">
        <f>210-126+544+207</f>
        <v>835</v>
      </c>
    </row>
    <row r="662" spans="1:8" ht="15.75" hidden="1" customHeight="1" outlineLevel="2">
      <c r="B662" s="155" t="s">
        <v>108</v>
      </c>
      <c r="C662" s="8" t="s">
        <v>21</v>
      </c>
      <c r="D662" s="3"/>
      <c r="E662" s="4"/>
      <c r="F662" s="4"/>
      <c r="G662" s="4"/>
      <c r="H662" s="4"/>
    </row>
    <row r="663" spans="1:8" ht="15.75" hidden="1" customHeight="1" outlineLevel="2">
      <c r="B663" s="155" t="s">
        <v>108</v>
      </c>
      <c r="C663" s="8" t="s">
        <v>22</v>
      </c>
      <c r="D663" s="3"/>
      <c r="E663" s="4"/>
      <c r="F663" s="4"/>
      <c r="G663" s="4"/>
      <c r="H663" s="4"/>
    </row>
    <row r="664" spans="1:8" ht="15.75" customHeight="1" outlineLevel="1" collapsed="1">
      <c r="A664" s="151">
        <v>1</v>
      </c>
      <c r="B664" s="150" t="s">
        <v>109</v>
      </c>
      <c r="C664" s="8">
        <f t="shared" ref="C664:D664" si="44">SUBTOTAL(9,C650:C663)</f>
        <v>0</v>
      </c>
      <c r="D664" s="3">
        <f t="shared" si="44"/>
        <v>5823</v>
      </c>
      <c r="E664" s="157">
        <f>SUBTOTAL(9,E650:E663)</f>
        <v>1093</v>
      </c>
      <c r="F664" s="157">
        <f>SUBTOTAL(9,F650:F663)</f>
        <v>1369</v>
      </c>
      <c r="G664" s="157">
        <f>SUBTOTAL(9,G650:G663)</f>
        <v>1308</v>
      </c>
      <c r="H664" s="157">
        <f>SUBTOTAL(9,H650:H663)</f>
        <v>2053</v>
      </c>
    </row>
    <row r="665" spans="1:8" ht="15.75" hidden="1" customHeight="1" outlineLevel="2">
      <c r="B665" s="155" t="s">
        <v>110</v>
      </c>
      <c r="C665" s="8" t="s">
        <v>9</v>
      </c>
      <c r="D665" s="3">
        <f>900-188</f>
        <v>712</v>
      </c>
      <c r="E665" s="4">
        <v>390</v>
      </c>
      <c r="F665" s="4">
        <v>322</v>
      </c>
      <c r="G665" s="4"/>
      <c r="H665" s="4"/>
    </row>
    <row r="666" spans="1:8" ht="15.75" hidden="1" customHeight="1" outlineLevel="2">
      <c r="B666" s="155" t="s">
        <v>110</v>
      </c>
      <c r="C666" s="8" t="s">
        <v>10</v>
      </c>
      <c r="D666" s="3"/>
      <c r="E666" s="4"/>
      <c r="F666" s="4"/>
      <c r="G666" s="4"/>
      <c r="H666" s="4"/>
    </row>
    <row r="667" spans="1:8" ht="15.75" hidden="1" customHeight="1" outlineLevel="2">
      <c r="B667" s="155" t="s">
        <v>110</v>
      </c>
      <c r="C667" s="8" t="s">
        <v>11</v>
      </c>
      <c r="D667" s="3"/>
      <c r="E667" s="4"/>
      <c r="F667" s="4"/>
      <c r="G667" s="4"/>
      <c r="H667" s="4"/>
    </row>
    <row r="668" spans="1:8" ht="15.75" hidden="1" customHeight="1" outlineLevel="2">
      <c r="B668" s="155" t="s">
        <v>110</v>
      </c>
      <c r="C668" s="8" t="s">
        <v>12</v>
      </c>
      <c r="D668" s="3"/>
      <c r="E668" s="4"/>
      <c r="F668" s="4"/>
      <c r="G668" s="4"/>
      <c r="H668" s="4"/>
    </row>
    <row r="669" spans="1:8" ht="15.75" hidden="1" customHeight="1" outlineLevel="2">
      <c r="B669" s="155" t="s">
        <v>110</v>
      </c>
      <c r="C669" s="8" t="s">
        <v>13</v>
      </c>
      <c r="D669" s="3"/>
      <c r="E669" s="4"/>
      <c r="F669" s="4"/>
      <c r="G669" s="4"/>
      <c r="H669" s="4"/>
    </row>
    <row r="670" spans="1:8" ht="15.75" hidden="1" customHeight="1" outlineLevel="2">
      <c r="B670" s="155" t="s">
        <v>110</v>
      </c>
      <c r="C670" s="8" t="s">
        <v>14</v>
      </c>
      <c r="D670" s="3"/>
      <c r="E670" s="4"/>
      <c r="F670" s="4"/>
      <c r="G670" s="4"/>
      <c r="H670" s="4"/>
    </row>
    <row r="671" spans="1:8" ht="15.75" hidden="1" customHeight="1" outlineLevel="2">
      <c r="B671" s="155" t="s">
        <v>110</v>
      </c>
      <c r="C671" s="8" t="s">
        <v>15</v>
      </c>
      <c r="D671" s="3"/>
      <c r="E671" s="4"/>
      <c r="F671" s="4"/>
      <c r="G671" s="4"/>
      <c r="H671" s="4"/>
    </row>
    <row r="672" spans="1:8" ht="15.75" hidden="1" customHeight="1" outlineLevel="2">
      <c r="B672" s="155" t="s">
        <v>110</v>
      </c>
      <c r="C672" s="8" t="s">
        <v>16</v>
      </c>
      <c r="D672" s="3"/>
      <c r="E672" s="4"/>
      <c r="F672" s="4"/>
      <c r="G672" s="4"/>
      <c r="H672" s="4"/>
    </row>
    <row r="673" spans="1:8" ht="15.75" hidden="1" customHeight="1" outlineLevel="2">
      <c r="B673" s="155" t="s">
        <v>110</v>
      </c>
      <c r="C673" s="8" t="s">
        <v>17</v>
      </c>
      <c r="D673" s="3"/>
      <c r="E673" s="4"/>
      <c r="F673" s="4"/>
      <c r="G673" s="4"/>
      <c r="H673" s="4"/>
    </row>
    <row r="674" spans="1:8" ht="15.75" hidden="1" customHeight="1" outlineLevel="2">
      <c r="B674" s="155" t="s">
        <v>110</v>
      </c>
      <c r="C674" s="8" t="s">
        <v>18</v>
      </c>
      <c r="D674" s="3"/>
      <c r="E674" s="4"/>
      <c r="F674" s="4"/>
      <c r="G674" s="4"/>
      <c r="H674" s="4"/>
    </row>
    <row r="675" spans="1:8" ht="15.75" hidden="1" customHeight="1" outlineLevel="2">
      <c r="B675" s="155" t="s">
        <v>110</v>
      </c>
      <c r="C675" s="8" t="s">
        <v>19</v>
      </c>
      <c r="D675" s="3"/>
      <c r="E675" s="4"/>
      <c r="F675" s="4"/>
      <c r="G675" s="4"/>
      <c r="H675" s="4"/>
    </row>
    <row r="676" spans="1:8" ht="15.75" hidden="1" customHeight="1" outlineLevel="2">
      <c r="B676" s="155" t="s">
        <v>110</v>
      </c>
      <c r="C676" s="8" t="s">
        <v>20</v>
      </c>
      <c r="D676" s="3"/>
      <c r="E676" s="4"/>
      <c r="F676" s="4"/>
      <c r="G676" s="4"/>
      <c r="H676" s="4"/>
    </row>
    <row r="677" spans="1:8" ht="15.75" hidden="1" customHeight="1" outlineLevel="2">
      <c r="B677" s="155" t="s">
        <v>110</v>
      </c>
      <c r="C677" s="8" t="s">
        <v>21</v>
      </c>
      <c r="D677" s="3"/>
      <c r="E677" s="4"/>
      <c r="F677" s="4"/>
      <c r="G677" s="4"/>
      <c r="H677" s="4"/>
    </row>
    <row r="678" spans="1:8" ht="15.75" hidden="1" customHeight="1" outlineLevel="2">
      <c r="B678" s="155" t="s">
        <v>110</v>
      </c>
      <c r="C678" s="8" t="s">
        <v>22</v>
      </c>
      <c r="D678" s="3"/>
      <c r="E678" s="4"/>
      <c r="F678" s="4"/>
      <c r="G678" s="4"/>
      <c r="H678" s="4"/>
    </row>
    <row r="679" spans="1:8" ht="15.75" customHeight="1" outlineLevel="1" collapsed="1">
      <c r="A679" s="151">
        <v>1</v>
      </c>
      <c r="B679" s="150" t="s">
        <v>111</v>
      </c>
      <c r="C679" s="8">
        <f t="shared" ref="C679:D679" si="45">SUBTOTAL(9,C665:C678)</f>
        <v>0</v>
      </c>
      <c r="D679" s="3">
        <f t="shared" si="45"/>
        <v>712</v>
      </c>
      <c r="E679" s="157">
        <f>SUBTOTAL(9,E665:E678)</f>
        <v>390</v>
      </c>
      <c r="F679" s="157">
        <f>SUBTOTAL(9,F665:F678)</f>
        <v>322</v>
      </c>
      <c r="G679" s="157">
        <f>SUBTOTAL(9,G665:G678)</f>
        <v>0</v>
      </c>
      <c r="H679" s="157">
        <f>SUBTOTAL(9,H665:H678)</f>
        <v>0</v>
      </c>
    </row>
    <row r="680" spans="1:8" ht="15.75" hidden="1" customHeight="1" outlineLevel="2">
      <c r="B680" s="155" t="s">
        <v>112</v>
      </c>
      <c r="C680" s="8" t="s">
        <v>9</v>
      </c>
      <c r="D680" s="3">
        <f>3518+841</f>
        <v>4359</v>
      </c>
      <c r="E680" s="4"/>
      <c r="F680" s="4"/>
      <c r="G680" s="4">
        <f>1458+841</f>
        <v>2299</v>
      </c>
      <c r="H680" s="4">
        <f>2060</f>
        <v>2060</v>
      </c>
    </row>
    <row r="681" spans="1:8" ht="15.75" hidden="1" customHeight="1" outlineLevel="2">
      <c r="B681" s="155" t="s">
        <v>112</v>
      </c>
      <c r="C681" s="8" t="s">
        <v>10</v>
      </c>
      <c r="D681" s="3"/>
      <c r="E681" s="4"/>
      <c r="F681" s="4"/>
      <c r="G681" s="4"/>
      <c r="H681" s="4"/>
    </row>
    <row r="682" spans="1:8" ht="15.75" hidden="1" customHeight="1" outlineLevel="2">
      <c r="B682" s="155" t="s">
        <v>112</v>
      </c>
      <c r="C682" s="8" t="s">
        <v>11</v>
      </c>
      <c r="D682" s="3"/>
      <c r="E682" s="4"/>
      <c r="F682" s="4"/>
      <c r="G682" s="4"/>
      <c r="H682" s="4"/>
    </row>
    <row r="683" spans="1:8" ht="15.75" hidden="1" customHeight="1" outlineLevel="2">
      <c r="B683" s="155" t="s">
        <v>112</v>
      </c>
      <c r="C683" s="8" t="s">
        <v>12</v>
      </c>
      <c r="D683" s="3"/>
      <c r="E683" s="4"/>
      <c r="F683" s="4"/>
      <c r="G683" s="4"/>
      <c r="H683" s="4"/>
    </row>
    <row r="684" spans="1:8" ht="15.75" hidden="1" customHeight="1" outlineLevel="2">
      <c r="B684" s="155" t="s">
        <v>112</v>
      </c>
      <c r="C684" s="8" t="s">
        <v>13</v>
      </c>
      <c r="D684" s="3"/>
      <c r="E684" s="4"/>
      <c r="F684" s="4"/>
      <c r="G684" s="4"/>
      <c r="H684" s="4"/>
    </row>
    <row r="685" spans="1:8" ht="15.75" hidden="1" customHeight="1" outlineLevel="2">
      <c r="B685" s="155" t="s">
        <v>112</v>
      </c>
      <c r="C685" s="8" t="s">
        <v>14</v>
      </c>
      <c r="D685" s="3"/>
      <c r="E685" s="4"/>
      <c r="F685" s="4"/>
      <c r="G685" s="4"/>
      <c r="H685" s="4"/>
    </row>
    <row r="686" spans="1:8" ht="15.75" hidden="1" customHeight="1" outlineLevel="2">
      <c r="B686" s="155" t="s">
        <v>112</v>
      </c>
      <c r="C686" s="8" t="s">
        <v>15</v>
      </c>
      <c r="D686" s="3"/>
      <c r="E686" s="4"/>
      <c r="F686" s="4"/>
      <c r="G686" s="4"/>
      <c r="H686" s="4"/>
    </row>
    <row r="687" spans="1:8" ht="15.75" hidden="1" customHeight="1" outlineLevel="2">
      <c r="B687" s="155" t="s">
        <v>112</v>
      </c>
      <c r="C687" s="8" t="s">
        <v>16</v>
      </c>
      <c r="D687" s="3"/>
      <c r="E687" s="4"/>
      <c r="F687" s="4"/>
      <c r="G687" s="4"/>
      <c r="H687" s="4"/>
    </row>
    <row r="688" spans="1:8" ht="15.75" hidden="1" customHeight="1" outlineLevel="2">
      <c r="B688" s="155" t="s">
        <v>112</v>
      </c>
      <c r="C688" s="8" t="s">
        <v>17</v>
      </c>
      <c r="D688" s="3"/>
      <c r="E688" s="4"/>
      <c r="F688" s="4"/>
      <c r="G688" s="4"/>
      <c r="H688" s="4"/>
    </row>
    <row r="689" spans="1:8" ht="15.75" hidden="1" customHeight="1" outlineLevel="2">
      <c r="B689" s="155" t="s">
        <v>112</v>
      </c>
      <c r="C689" s="8" t="s">
        <v>18</v>
      </c>
      <c r="D689" s="3"/>
      <c r="E689" s="4"/>
      <c r="F689" s="4"/>
      <c r="G689" s="4"/>
      <c r="H689" s="4"/>
    </row>
    <row r="690" spans="1:8" ht="15.75" hidden="1" customHeight="1" outlineLevel="2">
      <c r="B690" s="155" t="s">
        <v>112</v>
      </c>
      <c r="C690" s="8" t="s">
        <v>19</v>
      </c>
      <c r="D690" s="3"/>
      <c r="E690" s="4"/>
      <c r="F690" s="4"/>
      <c r="G690" s="4"/>
      <c r="H690" s="4"/>
    </row>
    <row r="691" spans="1:8" ht="15.75" hidden="1" customHeight="1" outlineLevel="2">
      <c r="B691" s="155" t="s">
        <v>112</v>
      </c>
      <c r="C691" s="8" t="s">
        <v>20</v>
      </c>
      <c r="D691" s="3"/>
      <c r="E691" s="4"/>
      <c r="F691" s="4"/>
      <c r="G691" s="4"/>
      <c r="H691" s="4"/>
    </row>
    <row r="692" spans="1:8" ht="15.75" hidden="1" customHeight="1" outlineLevel="2">
      <c r="B692" s="155" t="s">
        <v>112</v>
      </c>
      <c r="C692" s="8" t="s">
        <v>21</v>
      </c>
      <c r="D692" s="3"/>
      <c r="E692" s="4"/>
      <c r="F692" s="4"/>
      <c r="G692" s="4"/>
      <c r="H692" s="4"/>
    </row>
    <row r="693" spans="1:8" ht="15.75" hidden="1" customHeight="1" outlineLevel="2">
      <c r="B693" s="155" t="s">
        <v>112</v>
      </c>
      <c r="C693" s="8" t="s">
        <v>22</v>
      </c>
      <c r="D693" s="3"/>
      <c r="E693" s="4"/>
      <c r="F693" s="4"/>
      <c r="G693" s="4"/>
      <c r="H693" s="4"/>
    </row>
    <row r="694" spans="1:8" ht="15.75" customHeight="1" outlineLevel="1" collapsed="1">
      <c r="A694" s="151">
        <v>1</v>
      </c>
      <c r="B694" s="150" t="s">
        <v>112</v>
      </c>
      <c r="C694" s="8">
        <f t="shared" ref="C694:D694" si="46">SUBTOTAL(9,C680:C693)</f>
        <v>0</v>
      </c>
      <c r="D694" s="3">
        <f t="shared" si="46"/>
        <v>4359</v>
      </c>
      <c r="E694" s="157">
        <f>SUBTOTAL(9,E680:E693)</f>
        <v>0</v>
      </c>
      <c r="F694" s="157">
        <f>SUBTOTAL(9,F680:F693)</f>
        <v>0</v>
      </c>
      <c r="G694" s="157">
        <f>SUBTOTAL(9,G680:G693)</f>
        <v>2299</v>
      </c>
      <c r="H694" s="157">
        <f>SUBTOTAL(9,H680:H693)</f>
        <v>2060</v>
      </c>
    </row>
    <row r="695" spans="1:8" ht="15.75" hidden="1" customHeight="1" outlineLevel="2">
      <c r="B695" s="155" t="s">
        <v>113</v>
      </c>
      <c r="C695" s="8" t="s">
        <v>9</v>
      </c>
      <c r="D695" s="3">
        <v>309</v>
      </c>
      <c r="E695" s="4">
        <v>68</v>
      </c>
      <c r="F695" s="4">
        <v>85</v>
      </c>
      <c r="G695" s="4">
        <v>85</v>
      </c>
      <c r="H695" s="4">
        <v>71</v>
      </c>
    </row>
    <row r="696" spans="1:8" ht="15.75" hidden="1" customHeight="1" outlineLevel="2">
      <c r="B696" s="155" t="s">
        <v>113</v>
      </c>
      <c r="C696" s="8" t="s">
        <v>10</v>
      </c>
      <c r="D696" s="3"/>
      <c r="E696" s="4"/>
      <c r="F696" s="4"/>
      <c r="G696" s="4"/>
      <c r="H696" s="4"/>
    </row>
    <row r="697" spans="1:8" ht="15.75" hidden="1" customHeight="1" outlineLevel="2">
      <c r="B697" s="155" t="s">
        <v>113</v>
      </c>
      <c r="C697" s="8" t="s">
        <v>11</v>
      </c>
      <c r="D697" s="3"/>
      <c r="E697" s="4"/>
      <c r="F697" s="4"/>
      <c r="G697" s="4"/>
      <c r="H697" s="4"/>
    </row>
    <row r="698" spans="1:8" ht="15.75" hidden="1" customHeight="1" outlineLevel="2">
      <c r="B698" s="155" t="s">
        <v>113</v>
      </c>
      <c r="C698" s="8" t="s">
        <v>12</v>
      </c>
      <c r="D698" s="3"/>
      <c r="E698" s="4"/>
      <c r="F698" s="4"/>
      <c r="G698" s="4">
        <f>2-2</f>
        <v>0</v>
      </c>
      <c r="H698" s="4"/>
    </row>
    <row r="699" spans="1:8" ht="15.75" hidden="1" customHeight="1" outlineLevel="2">
      <c r="B699" s="155" t="s">
        <v>113</v>
      </c>
      <c r="C699" s="8" t="s">
        <v>13</v>
      </c>
      <c r="D699" s="3">
        <v>3</v>
      </c>
      <c r="E699" s="4"/>
      <c r="F699" s="4">
        <v>1</v>
      </c>
      <c r="G699" s="4">
        <v>1</v>
      </c>
      <c r="H699" s="4">
        <v>1</v>
      </c>
    </row>
    <row r="700" spans="1:8" ht="15.75" hidden="1" customHeight="1" outlineLevel="2">
      <c r="B700" s="155" t="s">
        <v>113</v>
      </c>
      <c r="C700" s="8" t="s">
        <v>14</v>
      </c>
      <c r="D700" s="3"/>
      <c r="E700" s="4"/>
      <c r="F700" s="4"/>
      <c r="G700" s="4"/>
      <c r="H700" s="4"/>
    </row>
    <row r="701" spans="1:8" ht="15.75" hidden="1" customHeight="1" outlineLevel="2">
      <c r="B701" s="155" t="s">
        <v>113</v>
      </c>
      <c r="C701" s="8" t="s">
        <v>15</v>
      </c>
      <c r="D701" s="3"/>
      <c r="E701" s="4"/>
      <c r="F701" s="4"/>
      <c r="G701" s="4"/>
      <c r="H701" s="4"/>
    </row>
    <row r="702" spans="1:8" ht="15.75" hidden="1" customHeight="1" outlineLevel="2">
      <c r="B702" s="155" t="s">
        <v>113</v>
      </c>
      <c r="C702" s="8" t="s">
        <v>16</v>
      </c>
      <c r="D702" s="3"/>
      <c r="E702" s="4"/>
      <c r="F702" s="4"/>
      <c r="G702" s="4"/>
      <c r="H702" s="4"/>
    </row>
    <row r="703" spans="1:8" ht="15.75" hidden="1" customHeight="1" outlineLevel="2">
      <c r="B703" s="155" t="s">
        <v>113</v>
      </c>
      <c r="C703" s="8" t="s">
        <v>17</v>
      </c>
      <c r="D703" s="3">
        <v>28</v>
      </c>
      <c r="E703" s="4">
        <v>2</v>
      </c>
      <c r="F703" s="4">
        <v>8</v>
      </c>
      <c r="G703" s="4">
        <f>4+6</f>
        <v>10</v>
      </c>
      <c r="H703" s="4">
        <v>8</v>
      </c>
    </row>
    <row r="704" spans="1:8" ht="15.75" hidden="1" customHeight="1" outlineLevel="2">
      <c r="B704" s="155" t="s">
        <v>113</v>
      </c>
      <c r="C704" s="8" t="s">
        <v>18</v>
      </c>
      <c r="D704" s="3"/>
      <c r="E704" s="4"/>
      <c r="F704" s="4"/>
      <c r="G704" s="4"/>
      <c r="H704" s="4"/>
    </row>
    <row r="705" spans="1:8" ht="31.5" hidden="1" customHeight="1" outlineLevel="2">
      <c r="B705" s="155" t="s">
        <v>113</v>
      </c>
      <c r="C705" s="8" t="s">
        <v>19</v>
      </c>
      <c r="D705" s="3">
        <v>275</v>
      </c>
      <c r="E705" s="4">
        <v>50</v>
      </c>
      <c r="F705" s="4">
        <v>76</v>
      </c>
      <c r="G705" s="4">
        <v>80</v>
      </c>
      <c r="H705" s="4">
        <v>69</v>
      </c>
    </row>
    <row r="706" spans="1:8" ht="23.25" hidden="1" customHeight="1" outlineLevel="2">
      <c r="B706" s="155" t="s">
        <v>113</v>
      </c>
      <c r="C706" s="8" t="s">
        <v>20</v>
      </c>
      <c r="D706" s="3">
        <v>485</v>
      </c>
      <c r="E706" s="4">
        <v>96</v>
      </c>
      <c r="F706" s="4">
        <v>146</v>
      </c>
      <c r="G706" s="4">
        <v>145</v>
      </c>
      <c r="H706" s="4">
        <v>98</v>
      </c>
    </row>
    <row r="707" spans="1:8" ht="15.75" hidden="1" customHeight="1" outlineLevel="2">
      <c r="B707" s="155" t="s">
        <v>113</v>
      </c>
      <c r="C707" s="8" t="s">
        <v>21</v>
      </c>
      <c r="D707" s="3"/>
      <c r="E707" s="4"/>
      <c r="F707" s="4"/>
      <c r="G707" s="4"/>
      <c r="H707" s="4"/>
    </row>
    <row r="708" spans="1:8" ht="15.75" hidden="1" customHeight="1" outlineLevel="2">
      <c r="B708" s="155" t="s">
        <v>113</v>
      </c>
      <c r="C708" s="8" t="s">
        <v>22</v>
      </c>
      <c r="D708" s="3"/>
      <c r="E708" s="4"/>
      <c r="F708" s="4"/>
      <c r="G708" s="4"/>
      <c r="H708" s="4"/>
    </row>
    <row r="709" spans="1:8" ht="15.75" customHeight="1" outlineLevel="1" collapsed="1">
      <c r="A709" s="151">
        <v>1</v>
      </c>
      <c r="B709" s="150" t="s">
        <v>114</v>
      </c>
      <c r="C709" s="8">
        <f t="shared" ref="C709:D709" si="47">SUBTOTAL(9,C695:C708)</f>
        <v>0</v>
      </c>
      <c r="D709" s="3">
        <f t="shared" si="47"/>
        <v>1100</v>
      </c>
      <c r="E709" s="157">
        <f>SUBTOTAL(9,E695:E708)</f>
        <v>216</v>
      </c>
      <c r="F709" s="157">
        <f>SUBTOTAL(9,F695:F708)</f>
        <v>316</v>
      </c>
      <c r="G709" s="157">
        <f>SUBTOTAL(9,G695:G708)</f>
        <v>321</v>
      </c>
      <c r="H709" s="157">
        <f>SUBTOTAL(9,H695:H708)</f>
        <v>247</v>
      </c>
    </row>
    <row r="710" spans="1:8" ht="15.75" hidden="1" customHeight="1" outlineLevel="2">
      <c r="B710" s="155" t="s">
        <v>115</v>
      </c>
      <c r="C710" s="8" t="s">
        <v>9</v>
      </c>
      <c r="D710" s="3"/>
      <c r="E710" s="4"/>
      <c r="F710" s="4"/>
      <c r="G710" s="4"/>
      <c r="H710" s="4"/>
    </row>
    <row r="711" spans="1:8" ht="15.75" hidden="1" customHeight="1" outlineLevel="2">
      <c r="B711" s="155" t="s">
        <v>115</v>
      </c>
      <c r="C711" s="8" t="s">
        <v>10</v>
      </c>
      <c r="D711" s="3"/>
      <c r="E711" s="4"/>
      <c r="F711" s="4"/>
      <c r="G711" s="4"/>
      <c r="H711" s="4"/>
    </row>
    <row r="712" spans="1:8" ht="15.75" hidden="1" customHeight="1" outlineLevel="2">
      <c r="B712" s="155" t="s">
        <v>115</v>
      </c>
      <c r="C712" s="8" t="s">
        <v>11</v>
      </c>
      <c r="D712" s="3"/>
      <c r="E712" s="4"/>
      <c r="F712" s="4"/>
      <c r="G712" s="4"/>
      <c r="H712" s="4"/>
    </row>
    <row r="713" spans="1:8" ht="15.75" hidden="1" customHeight="1" outlineLevel="2">
      <c r="B713" s="155" t="s">
        <v>115</v>
      </c>
      <c r="C713" s="8" t="s">
        <v>12</v>
      </c>
      <c r="D713" s="3"/>
      <c r="E713" s="4"/>
      <c r="F713" s="4"/>
      <c r="G713" s="4"/>
      <c r="H713" s="4"/>
    </row>
    <row r="714" spans="1:8" ht="15.75" hidden="1" customHeight="1" outlineLevel="2">
      <c r="B714" s="155" t="s">
        <v>115</v>
      </c>
      <c r="C714" s="8" t="s">
        <v>13</v>
      </c>
      <c r="D714" s="3"/>
      <c r="E714" s="4"/>
      <c r="F714" s="4"/>
      <c r="G714" s="4"/>
      <c r="H714" s="4"/>
    </row>
    <row r="715" spans="1:8" ht="15.75" hidden="1" customHeight="1" outlineLevel="2">
      <c r="B715" s="155" t="s">
        <v>115</v>
      </c>
      <c r="C715" s="8" t="s">
        <v>14</v>
      </c>
      <c r="D715" s="3"/>
      <c r="E715" s="4"/>
      <c r="F715" s="4"/>
      <c r="G715" s="4"/>
      <c r="H715" s="4"/>
    </row>
    <row r="716" spans="1:8" ht="15.75" hidden="1" customHeight="1" outlineLevel="2">
      <c r="B716" s="155" t="s">
        <v>115</v>
      </c>
      <c r="C716" s="8" t="s">
        <v>15</v>
      </c>
      <c r="D716" s="3"/>
      <c r="E716" s="4"/>
      <c r="F716" s="4"/>
      <c r="G716" s="4"/>
      <c r="H716" s="4"/>
    </row>
    <row r="717" spans="1:8" ht="15.75" hidden="1" customHeight="1" outlineLevel="2">
      <c r="B717" s="155" t="s">
        <v>115</v>
      </c>
      <c r="C717" s="8" t="s">
        <v>16</v>
      </c>
      <c r="D717" s="3"/>
      <c r="E717" s="4"/>
      <c r="F717" s="4"/>
      <c r="G717" s="4"/>
      <c r="H717" s="4"/>
    </row>
    <row r="718" spans="1:8" ht="15.75" hidden="1" customHeight="1" outlineLevel="2">
      <c r="B718" s="155" t="s">
        <v>115</v>
      </c>
      <c r="C718" s="8" t="s">
        <v>17</v>
      </c>
      <c r="D718" s="3"/>
      <c r="E718" s="4"/>
      <c r="F718" s="4"/>
      <c r="G718" s="4"/>
      <c r="H718" s="4"/>
    </row>
    <row r="719" spans="1:8" ht="15.75" hidden="1" customHeight="1" outlineLevel="2">
      <c r="B719" s="155" t="s">
        <v>115</v>
      </c>
      <c r="C719" s="8" t="s">
        <v>18</v>
      </c>
      <c r="D719" s="3"/>
      <c r="E719" s="4"/>
      <c r="F719" s="4"/>
      <c r="G719" s="4"/>
      <c r="H719" s="4"/>
    </row>
    <row r="720" spans="1:8" ht="15.75" hidden="1" customHeight="1" outlineLevel="2">
      <c r="B720" s="155" t="s">
        <v>115</v>
      </c>
      <c r="C720" s="8" t="s">
        <v>19</v>
      </c>
      <c r="D720" s="3"/>
      <c r="E720" s="4"/>
      <c r="F720" s="4"/>
      <c r="G720" s="4"/>
      <c r="H720" s="4"/>
    </row>
    <row r="721" spans="1:8" ht="15.75" hidden="1" customHeight="1" outlineLevel="2">
      <c r="B721" s="155" t="s">
        <v>115</v>
      </c>
      <c r="C721" s="8" t="s">
        <v>20</v>
      </c>
      <c r="D721" s="3"/>
      <c r="E721" s="4"/>
      <c r="F721" s="4"/>
      <c r="G721" s="4"/>
      <c r="H721" s="4"/>
    </row>
    <row r="722" spans="1:8" ht="15.75" hidden="1" customHeight="1" outlineLevel="2">
      <c r="B722" s="155" t="s">
        <v>115</v>
      </c>
      <c r="C722" s="8" t="s">
        <v>21</v>
      </c>
      <c r="D722" s="3"/>
      <c r="E722" s="4"/>
      <c r="F722" s="4"/>
      <c r="G722" s="4"/>
      <c r="H722" s="4"/>
    </row>
    <row r="723" spans="1:8" ht="15.75" hidden="1" customHeight="1" outlineLevel="2">
      <c r="B723" s="158" t="s">
        <v>115</v>
      </c>
      <c r="C723" s="8" t="s">
        <v>22</v>
      </c>
      <c r="D723" s="5"/>
      <c r="E723" s="159"/>
      <c r="F723" s="159"/>
      <c r="G723" s="159"/>
      <c r="H723" s="159"/>
    </row>
    <row r="724" spans="1:8" ht="15.75" customHeight="1" outlineLevel="1" collapsed="1">
      <c r="A724" s="151">
        <v>1</v>
      </c>
      <c r="B724" s="150" t="s">
        <v>116</v>
      </c>
      <c r="C724" s="10">
        <f t="shared" ref="C724:D724" si="48">SUBTOTAL(9,C710:C723)</f>
        <v>0</v>
      </c>
      <c r="D724" s="3">
        <f t="shared" si="48"/>
        <v>0</v>
      </c>
      <c r="E724" s="4">
        <f>SUBTOTAL(9,E710:E723)</f>
        <v>0</v>
      </c>
      <c r="F724" s="4">
        <f>SUBTOTAL(9,F710:F723)</f>
        <v>0</v>
      </c>
      <c r="G724" s="4">
        <f>SUBTOTAL(9,G710:G723)</f>
        <v>0</v>
      </c>
      <c r="H724" s="4">
        <f>SUBTOTAL(9,H710:H723)</f>
        <v>0</v>
      </c>
    </row>
    <row r="725" spans="1:8">
      <c r="A725" s="151">
        <v>1</v>
      </c>
      <c r="B725" s="150" t="s">
        <v>117</v>
      </c>
      <c r="C725" s="10">
        <f t="shared" ref="C725:D725" si="49">SUBTOTAL(9,C5:C723)</f>
        <v>0</v>
      </c>
      <c r="D725" s="3">
        <f t="shared" si="49"/>
        <v>98544</v>
      </c>
      <c r="E725" s="157">
        <f>SUBTOTAL(9,E5:E723)</f>
        <v>13983</v>
      </c>
      <c r="F725" s="157">
        <f>SUBTOTAL(9,F5:F723)</f>
        <v>15502</v>
      </c>
      <c r="G725" s="157">
        <f>SUBTOTAL(9,G5:G723)</f>
        <v>25462</v>
      </c>
      <c r="H725" s="157">
        <f>SUBTOTAL(9,H5:H723)</f>
        <v>43597</v>
      </c>
    </row>
  </sheetData>
  <autoFilter ref="A4:H725"/>
  <mergeCells count="2">
    <mergeCell ref="B2:D2"/>
    <mergeCell ref="B3:D3"/>
  </mergeCells>
  <conditionalFormatting sqref="E4:H4">
    <cfRule type="expression" dxfId="2" priority="19">
      <formula>$C4=3</formula>
    </cfRule>
    <cfRule type="expression" dxfId="1" priority="20">
      <formula>$C4=2</formula>
    </cfRule>
  </conditionalFormatting>
  <conditionalFormatting sqref="A1:XFD1048576">
    <cfRule type="expression" dxfId="0" priority="18">
      <formula>$A1=1</formula>
    </cfRule>
  </conditionalFormatting>
  <pageMargins left="0.11811023622047245" right="0.11811023622047245" top="0.15748031496062992" bottom="0.15748031496062992" header="0.31496062992125984" footer="0.31496062992125984"/>
  <pageSetup paperSize="9" scale="69" fitToHeight="2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AV55"/>
  <sheetViews>
    <sheetView view="pageBreakPreview" zoomScale="60" zoomScaleNormal="100" workbookViewId="0">
      <pane xSplit="3" ySplit="4" topLeftCell="D5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4.7109375" style="255" hidden="1" customWidth="1"/>
    <col min="2" max="2" width="58.140625" style="255" customWidth="1"/>
    <col min="3" max="3" width="14.5703125" style="255" customWidth="1"/>
    <col min="4" max="16384" width="9.140625" style="255"/>
  </cols>
  <sheetData>
    <row r="2" spans="2:48" ht="132" customHeight="1">
      <c r="B2" s="262" t="s">
        <v>273</v>
      </c>
      <c r="C2" s="262"/>
      <c r="D2" s="262"/>
      <c r="E2" s="262"/>
      <c r="F2" s="262"/>
      <c r="G2" s="262"/>
      <c r="I2" s="257"/>
    </row>
    <row r="3" spans="2:48" ht="40.5" customHeight="1"/>
    <row r="4" spans="2:48" ht="356.25">
      <c r="B4" s="261" t="s">
        <v>274</v>
      </c>
      <c r="C4" s="259" t="s">
        <v>275</v>
      </c>
      <c r="D4" s="223" t="s">
        <v>8</v>
      </c>
      <c r="E4" s="223" t="s">
        <v>129</v>
      </c>
      <c r="F4" s="223" t="s">
        <v>131</v>
      </c>
      <c r="G4" s="223" t="s">
        <v>239</v>
      </c>
      <c r="H4" s="223" t="s">
        <v>30</v>
      </c>
      <c r="I4" s="223" t="s">
        <v>133</v>
      </c>
      <c r="J4" s="223" t="s">
        <v>135</v>
      </c>
      <c r="K4" s="223" t="s">
        <v>36</v>
      </c>
      <c r="L4" s="223" t="s">
        <v>38</v>
      </c>
      <c r="M4" s="223" t="s">
        <v>40</v>
      </c>
      <c r="N4" s="223" t="s">
        <v>42</v>
      </c>
      <c r="O4" s="223" t="s">
        <v>44</v>
      </c>
      <c r="P4" s="223" t="s">
        <v>46</v>
      </c>
      <c r="Q4" s="223" t="s">
        <v>137</v>
      </c>
      <c r="R4" s="223" t="s">
        <v>240</v>
      </c>
      <c r="S4" s="223" t="s">
        <v>139</v>
      </c>
      <c r="T4" s="223" t="s">
        <v>54</v>
      </c>
      <c r="U4" s="223" t="s">
        <v>56</v>
      </c>
      <c r="V4" s="223" t="s">
        <v>141</v>
      </c>
      <c r="W4" s="223" t="s">
        <v>60</v>
      </c>
      <c r="X4" s="223" t="s">
        <v>143</v>
      </c>
      <c r="Y4" s="223" t="s">
        <v>145</v>
      </c>
      <c r="Z4" s="223" t="s">
        <v>147</v>
      </c>
      <c r="AA4" s="223" t="s">
        <v>149</v>
      </c>
      <c r="AB4" s="223" t="s">
        <v>151</v>
      </c>
      <c r="AC4" s="223" t="s">
        <v>153</v>
      </c>
      <c r="AD4" s="223" t="s">
        <v>155</v>
      </c>
      <c r="AE4" s="223" t="s">
        <v>157</v>
      </c>
      <c r="AF4" s="223" t="s">
        <v>78</v>
      </c>
      <c r="AG4" s="223" t="s">
        <v>159</v>
      </c>
      <c r="AH4" s="223" t="s">
        <v>276</v>
      </c>
      <c r="AI4" s="223" t="s">
        <v>84</v>
      </c>
      <c r="AJ4" s="223" t="s">
        <v>179</v>
      </c>
      <c r="AK4" s="223" t="s">
        <v>161</v>
      </c>
      <c r="AL4" s="223" t="s">
        <v>277</v>
      </c>
      <c r="AM4" s="223" t="s">
        <v>266</v>
      </c>
      <c r="AN4" s="223" t="s">
        <v>278</v>
      </c>
      <c r="AO4" s="223" t="s">
        <v>268</v>
      </c>
      <c r="AP4" s="223" t="s">
        <v>269</v>
      </c>
      <c r="AQ4" s="223" t="s">
        <v>167</v>
      </c>
      <c r="AR4" s="223" t="s">
        <v>169</v>
      </c>
      <c r="AS4" s="223" t="s">
        <v>102</v>
      </c>
      <c r="AT4" s="223" t="s">
        <v>171</v>
      </c>
      <c r="AU4" s="223" t="s">
        <v>173</v>
      </c>
    </row>
    <row r="5" spans="2:48" ht="36" customHeight="1">
      <c r="B5" s="260" t="s">
        <v>8</v>
      </c>
      <c r="C5" s="229">
        <v>146</v>
      </c>
      <c r="D5" s="230">
        <v>146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58"/>
    </row>
    <row r="6" spans="2:48" ht="36" customHeight="1">
      <c r="B6" s="228" t="s">
        <v>129</v>
      </c>
      <c r="C6" s="229">
        <v>31</v>
      </c>
      <c r="D6" s="230"/>
      <c r="E6" s="230">
        <v>31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58"/>
    </row>
    <row r="7" spans="2:48" ht="36" customHeight="1">
      <c r="B7" s="228" t="s">
        <v>131</v>
      </c>
      <c r="C7" s="229">
        <v>90</v>
      </c>
      <c r="D7" s="230"/>
      <c r="E7" s="230"/>
      <c r="F7" s="230">
        <v>90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58"/>
    </row>
    <row r="8" spans="2:48" ht="36" customHeight="1">
      <c r="B8" s="228" t="s">
        <v>30</v>
      </c>
      <c r="C8" s="229">
        <v>341</v>
      </c>
      <c r="D8" s="230"/>
      <c r="E8" s="230"/>
      <c r="F8" s="230"/>
      <c r="G8" s="230">
        <v>200</v>
      </c>
      <c r="H8" s="230">
        <v>91</v>
      </c>
      <c r="I8" s="230"/>
      <c r="J8" s="230"/>
      <c r="K8" s="230"/>
      <c r="L8" s="230"/>
      <c r="M8" s="230"/>
      <c r="N8" s="230"/>
      <c r="O8" s="230"/>
      <c r="P8" s="230">
        <v>50</v>
      </c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58"/>
    </row>
    <row r="9" spans="2:48" ht="36" customHeight="1">
      <c r="B9" s="228" t="s">
        <v>133</v>
      </c>
      <c r="C9" s="229">
        <v>1672</v>
      </c>
      <c r="D9" s="230"/>
      <c r="E9" s="230"/>
      <c r="F9" s="230"/>
      <c r="G9" s="230"/>
      <c r="H9" s="230"/>
      <c r="I9" s="230">
        <v>1667</v>
      </c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>
        <v>5</v>
      </c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58"/>
    </row>
    <row r="10" spans="2:48" ht="36" customHeight="1">
      <c r="B10" s="228" t="s">
        <v>135</v>
      </c>
      <c r="C10" s="229">
        <v>332</v>
      </c>
      <c r="D10" s="230"/>
      <c r="E10" s="230"/>
      <c r="F10" s="230"/>
      <c r="G10" s="230"/>
      <c r="H10" s="230"/>
      <c r="I10" s="230"/>
      <c r="J10" s="230">
        <v>332</v>
      </c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58"/>
    </row>
    <row r="11" spans="2:48" ht="36" customHeight="1">
      <c r="B11" s="228" t="s">
        <v>36</v>
      </c>
      <c r="C11" s="229">
        <v>105</v>
      </c>
      <c r="D11" s="230"/>
      <c r="E11" s="230"/>
      <c r="F11" s="230"/>
      <c r="G11" s="230"/>
      <c r="H11" s="230"/>
      <c r="I11" s="230"/>
      <c r="J11" s="230"/>
      <c r="K11" s="230">
        <v>105</v>
      </c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58"/>
    </row>
    <row r="12" spans="2:48" ht="36" customHeight="1">
      <c r="B12" s="228" t="s">
        <v>38</v>
      </c>
      <c r="C12" s="229">
        <v>1200</v>
      </c>
      <c r="D12" s="230"/>
      <c r="E12" s="230"/>
      <c r="F12" s="230"/>
      <c r="G12" s="230"/>
      <c r="H12" s="230"/>
      <c r="I12" s="230"/>
      <c r="J12" s="230"/>
      <c r="K12" s="230"/>
      <c r="L12" s="230">
        <v>1200</v>
      </c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58"/>
    </row>
    <row r="13" spans="2:48" ht="36" customHeight="1">
      <c r="B13" s="228" t="s">
        <v>40</v>
      </c>
      <c r="C13" s="229">
        <v>171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>
        <v>171</v>
      </c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58"/>
    </row>
    <row r="14" spans="2:48" ht="36" customHeight="1">
      <c r="B14" s="228" t="s">
        <v>42</v>
      </c>
      <c r="C14" s="229">
        <v>954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>
        <v>954</v>
      </c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58"/>
    </row>
    <row r="15" spans="2:48" ht="36" customHeight="1">
      <c r="B15" s="228" t="s">
        <v>279</v>
      </c>
      <c r="C15" s="229">
        <v>450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>
        <v>450</v>
      </c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58"/>
    </row>
    <row r="16" spans="2:48" ht="36" customHeight="1">
      <c r="B16" s="228" t="s">
        <v>137</v>
      </c>
      <c r="C16" s="229">
        <v>587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>
        <v>587</v>
      </c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58"/>
    </row>
    <row r="17" spans="1:48" ht="36" customHeight="1">
      <c r="B17" s="228" t="s">
        <v>139</v>
      </c>
      <c r="C17" s="229">
        <v>999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>
        <v>999</v>
      </c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58"/>
    </row>
    <row r="18" spans="1:48" ht="36" customHeight="1">
      <c r="B18" s="228" t="s">
        <v>54</v>
      </c>
      <c r="C18" s="229">
        <v>293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>
        <v>293</v>
      </c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58"/>
    </row>
    <row r="19" spans="1:48" ht="36" customHeight="1">
      <c r="B19" s="228" t="s">
        <v>56</v>
      </c>
      <c r="C19" s="229">
        <v>204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>
        <v>204</v>
      </c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58"/>
    </row>
    <row r="20" spans="1:48" ht="36" customHeight="1">
      <c r="B20" s="228" t="s">
        <v>141</v>
      </c>
      <c r="C20" s="229">
        <v>1106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>
        <v>1106</v>
      </c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58"/>
    </row>
    <row r="21" spans="1:48" ht="36" customHeight="1">
      <c r="B21" s="228" t="s">
        <v>60</v>
      </c>
      <c r="C21" s="229">
        <v>678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>
        <v>678</v>
      </c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58"/>
    </row>
    <row r="22" spans="1:48" ht="36" customHeight="1">
      <c r="B22" s="228" t="s">
        <v>143</v>
      </c>
      <c r="C22" s="229">
        <v>1077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>
        <v>1077</v>
      </c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58"/>
    </row>
    <row r="23" spans="1:48" ht="36" customHeight="1">
      <c r="B23" s="228" t="s">
        <v>145</v>
      </c>
      <c r="C23" s="229">
        <v>285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>
        <v>285</v>
      </c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58"/>
    </row>
    <row r="24" spans="1:48" ht="36" customHeight="1">
      <c r="B24" s="228" t="s">
        <v>147</v>
      </c>
      <c r="C24" s="229">
        <v>554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>
        <v>524</v>
      </c>
      <c r="AA24" s="230"/>
      <c r="AB24" s="230">
        <v>30</v>
      </c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58"/>
    </row>
    <row r="25" spans="1:48" ht="36" customHeight="1">
      <c r="B25" s="228" t="s">
        <v>149</v>
      </c>
      <c r="C25" s="229">
        <v>283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>
        <v>283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58"/>
    </row>
    <row r="26" spans="1:48" ht="36" customHeight="1">
      <c r="B26" s="228" t="s">
        <v>151</v>
      </c>
      <c r="C26" s="229">
        <v>149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>
        <v>149</v>
      </c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58"/>
    </row>
    <row r="27" spans="1:48" ht="36" customHeight="1">
      <c r="B27" s="228" t="s">
        <v>153</v>
      </c>
      <c r="C27" s="229">
        <v>891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>
        <v>891</v>
      </c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58"/>
    </row>
    <row r="28" spans="1:48" ht="36" customHeight="1">
      <c r="A28" s="255">
        <v>1</v>
      </c>
      <c r="B28" s="239" t="s">
        <v>241</v>
      </c>
      <c r="C28" s="243">
        <v>12598</v>
      </c>
      <c r="D28" s="243">
        <v>146</v>
      </c>
      <c r="E28" s="243">
        <v>31</v>
      </c>
      <c r="F28" s="243">
        <v>90</v>
      </c>
      <c r="G28" s="243">
        <v>200</v>
      </c>
      <c r="H28" s="243">
        <v>91</v>
      </c>
      <c r="I28" s="243">
        <v>1667</v>
      </c>
      <c r="J28" s="243">
        <v>332</v>
      </c>
      <c r="K28" s="243">
        <v>105</v>
      </c>
      <c r="L28" s="243">
        <v>1200</v>
      </c>
      <c r="M28" s="243">
        <v>171</v>
      </c>
      <c r="N28" s="243">
        <v>954</v>
      </c>
      <c r="O28" s="243">
        <v>450</v>
      </c>
      <c r="P28" s="243">
        <v>50</v>
      </c>
      <c r="Q28" s="243">
        <v>587</v>
      </c>
      <c r="R28" s="243">
        <v>0</v>
      </c>
      <c r="S28" s="243">
        <v>999</v>
      </c>
      <c r="T28" s="243">
        <v>293</v>
      </c>
      <c r="U28" s="243">
        <v>204</v>
      </c>
      <c r="V28" s="243">
        <v>1106</v>
      </c>
      <c r="W28" s="243">
        <v>683</v>
      </c>
      <c r="X28" s="243">
        <v>1077</v>
      </c>
      <c r="Y28" s="243">
        <v>285</v>
      </c>
      <c r="Z28" s="243">
        <v>524</v>
      </c>
      <c r="AA28" s="243">
        <v>283</v>
      </c>
      <c r="AB28" s="243">
        <v>179</v>
      </c>
      <c r="AC28" s="243">
        <v>891</v>
      </c>
      <c r="AD28" s="243">
        <v>0</v>
      </c>
      <c r="AE28" s="243">
        <v>0</v>
      </c>
      <c r="AF28" s="243">
        <v>0</v>
      </c>
      <c r="AG28" s="243">
        <v>0</v>
      </c>
      <c r="AH28" s="243">
        <v>0</v>
      </c>
      <c r="AI28" s="243">
        <v>0</v>
      </c>
      <c r="AJ28" s="243">
        <v>0</v>
      </c>
      <c r="AK28" s="243">
        <v>0</v>
      </c>
      <c r="AL28" s="243">
        <v>0</v>
      </c>
      <c r="AM28" s="243">
        <v>0</v>
      </c>
      <c r="AN28" s="243">
        <v>0</v>
      </c>
      <c r="AO28" s="243">
        <v>0</v>
      </c>
      <c r="AP28" s="243">
        <v>0</v>
      </c>
      <c r="AQ28" s="243">
        <v>0</v>
      </c>
      <c r="AR28" s="243">
        <v>0</v>
      </c>
      <c r="AS28" s="243">
        <v>0</v>
      </c>
      <c r="AT28" s="243">
        <v>0</v>
      </c>
      <c r="AU28" s="243">
        <v>0</v>
      </c>
      <c r="AV28" s="258"/>
    </row>
    <row r="29" spans="1:48" ht="36" customHeight="1">
      <c r="B29" s="228" t="s">
        <v>155</v>
      </c>
      <c r="C29" s="229">
        <v>3472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>
        <v>3160</v>
      </c>
      <c r="AE29" s="230"/>
      <c r="AF29" s="230"/>
      <c r="AG29" s="230">
        <v>15</v>
      </c>
      <c r="AH29" s="230">
        <v>297</v>
      </c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58"/>
    </row>
    <row r="30" spans="1:48" ht="36" customHeight="1">
      <c r="B30" s="228" t="s">
        <v>157</v>
      </c>
      <c r="C30" s="229">
        <v>1152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>
        <v>1152</v>
      </c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58"/>
    </row>
    <row r="31" spans="1:48" ht="36" customHeight="1">
      <c r="B31" s="228" t="s">
        <v>78</v>
      </c>
      <c r="C31" s="229">
        <v>1644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>
        <v>50</v>
      </c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>
        <v>1534</v>
      </c>
      <c r="AG31" s="230">
        <v>60</v>
      </c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58"/>
    </row>
    <row r="32" spans="1:48" ht="36" customHeight="1">
      <c r="B32" s="228" t="s">
        <v>159</v>
      </c>
      <c r="C32" s="229">
        <v>1489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>
        <v>1439</v>
      </c>
      <c r="AH32" s="230">
        <v>50</v>
      </c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58"/>
    </row>
    <row r="33" spans="1:48" ht="36" customHeight="1">
      <c r="B33" s="228" t="s">
        <v>84</v>
      </c>
      <c r="C33" s="229">
        <v>296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>
        <v>15</v>
      </c>
      <c r="AH33" s="230"/>
      <c r="AI33" s="230">
        <v>281</v>
      </c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58"/>
    </row>
    <row r="34" spans="1:48" ht="36" customHeight="1">
      <c r="B34" s="228" t="s">
        <v>161</v>
      </c>
      <c r="C34" s="229">
        <v>989</v>
      </c>
      <c r="D34" s="230"/>
      <c r="E34" s="230"/>
      <c r="F34" s="230"/>
      <c r="G34" s="230"/>
      <c r="H34" s="230"/>
      <c r="I34" s="230"/>
      <c r="J34" s="230"/>
      <c r="K34" s="230"/>
      <c r="L34" s="230">
        <v>100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>
        <v>889</v>
      </c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58"/>
    </row>
    <row r="35" spans="1:48" ht="36" customHeight="1">
      <c r="B35" s="228" t="s">
        <v>163</v>
      </c>
      <c r="C35" s="229">
        <v>1400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>
        <v>50</v>
      </c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>
        <v>320</v>
      </c>
      <c r="AH35" s="230"/>
      <c r="AI35" s="230"/>
      <c r="AJ35" s="230"/>
      <c r="AK35" s="230"/>
      <c r="AL35" s="230">
        <v>1030</v>
      </c>
      <c r="AM35" s="230"/>
      <c r="AN35" s="230"/>
      <c r="AO35" s="230"/>
      <c r="AP35" s="230"/>
      <c r="AQ35" s="230"/>
      <c r="AR35" s="230"/>
      <c r="AS35" s="230"/>
      <c r="AT35" s="230"/>
      <c r="AU35" s="230"/>
      <c r="AV35" s="258"/>
    </row>
    <row r="36" spans="1:48" ht="36" customHeight="1">
      <c r="B36" s="228" t="s">
        <v>266</v>
      </c>
      <c r="C36" s="229">
        <v>192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>
        <v>192</v>
      </c>
      <c r="AN36" s="230"/>
      <c r="AO36" s="230"/>
      <c r="AP36" s="230"/>
      <c r="AQ36" s="230"/>
      <c r="AR36" s="230"/>
      <c r="AS36" s="230"/>
      <c r="AT36" s="230"/>
      <c r="AU36" s="230"/>
      <c r="AV36" s="258"/>
    </row>
    <row r="37" spans="1:48" ht="36" customHeight="1">
      <c r="B37" s="228" t="s">
        <v>165</v>
      </c>
      <c r="C37" s="229">
        <v>425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>
        <v>25</v>
      </c>
      <c r="AH37" s="230"/>
      <c r="AI37" s="230"/>
      <c r="AJ37" s="230"/>
      <c r="AK37" s="230"/>
      <c r="AL37" s="230"/>
      <c r="AM37" s="230"/>
      <c r="AN37" s="230">
        <v>400</v>
      </c>
      <c r="AO37" s="230"/>
      <c r="AP37" s="230"/>
      <c r="AQ37" s="230"/>
      <c r="AR37" s="230"/>
      <c r="AS37" s="230"/>
      <c r="AT37" s="230"/>
      <c r="AU37" s="230"/>
      <c r="AV37" s="258"/>
    </row>
    <row r="38" spans="1:48" ht="36" customHeight="1">
      <c r="A38" s="255">
        <v>1</v>
      </c>
      <c r="B38" s="239" t="s">
        <v>247</v>
      </c>
      <c r="C38" s="243">
        <v>11059</v>
      </c>
      <c r="D38" s="243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100</v>
      </c>
      <c r="M38" s="243">
        <v>0</v>
      </c>
      <c r="N38" s="243">
        <v>0</v>
      </c>
      <c r="O38" s="243">
        <v>0</v>
      </c>
      <c r="P38" s="243">
        <v>50</v>
      </c>
      <c r="Q38" s="243">
        <v>0</v>
      </c>
      <c r="R38" s="243">
        <v>50</v>
      </c>
      <c r="S38" s="243">
        <v>0</v>
      </c>
      <c r="T38" s="243">
        <v>0</v>
      </c>
      <c r="U38" s="243">
        <v>0</v>
      </c>
      <c r="V38" s="243">
        <v>0</v>
      </c>
      <c r="W38" s="243">
        <v>0</v>
      </c>
      <c r="X38" s="243">
        <v>0</v>
      </c>
      <c r="Y38" s="243">
        <v>0</v>
      </c>
      <c r="Z38" s="243">
        <v>0</v>
      </c>
      <c r="AA38" s="243">
        <v>0</v>
      </c>
      <c r="AB38" s="243">
        <v>0</v>
      </c>
      <c r="AC38" s="243">
        <v>0</v>
      </c>
      <c r="AD38" s="243">
        <v>3160</v>
      </c>
      <c r="AE38" s="243">
        <v>1152</v>
      </c>
      <c r="AF38" s="243">
        <v>1534</v>
      </c>
      <c r="AG38" s="243">
        <v>1874</v>
      </c>
      <c r="AH38" s="243">
        <v>347</v>
      </c>
      <c r="AI38" s="243">
        <v>281</v>
      </c>
      <c r="AJ38" s="243">
        <v>0</v>
      </c>
      <c r="AK38" s="243">
        <v>889</v>
      </c>
      <c r="AL38" s="243">
        <v>1030</v>
      </c>
      <c r="AM38" s="243">
        <v>192</v>
      </c>
      <c r="AN38" s="243">
        <v>400</v>
      </c>
      <c r="AO38" s="243">
        <v>0</v>
      </c>
      <c r="AP38" s="243">
        <v>0</v>
      </c>
      <c r="AQ38" s="243">
        <v>0</v>
      </c>
      <c r="AR38" s="243">
        <v>0</v>
      </c>
      <c r="AS38" s="243">
        <v>0</v>
      </c>
      <c r="AT38" s="243">
        <v>0</v>
      </c>
      <c r="AU38" s="243">
        <v>0</v>
      </c>
      <c r="AV38" s="258"/>
    </row>
    <row r="39" spans="1:48" ht="36" customHeight="1">
      <c r="B39" s="228" t="s">
        <v>167</v>
      </c>
      <c r="C39" s="229">
        <v>2493</v>
      </c>
      <c r="D39" s="230">
        <v>15</v>
      </c>
      <c r="E39" s="230"/>
      <c r="F39" s="230"/>
      <c r="G39" s="230">
        <v>15</v>
      </c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>
        <v>2463</v>
      </c>
      <c r="AR39" s="230"/>
      <c r="AS39" s="230"/>
      <c r="AT39" s="230"/>
      <c r="AU39" s="230"/>
      <c r="AV39" s="258"/>
    </row>
    <row r="40" spans="1:48" ht="36" customHeight="1">
      <c r="B40" s="228" t="s">
        <v>169</v>
      </c>
      <c r="C40" s="229">
        <v>1129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>
        <v>1129</v>
      </c>
      <c r="AS40" s="230"/>
      <c r="AT40" s="230"/>
      <c r="AU40" s="230"/>
      <c r="AV40" s="258"/>
    </row>
    <row r="41" spans="1:48" ht="36" customHeight="1">
      <c r="B41" s="228" t="s">
        <v>102</v>
      </c>
      <c r="C41" s="229">
        <v>1295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>
        <v>50</v>
      </c>
      <c r="AS41" s="230">
        <v>1245</v>
      </c>
      <c r="AT41" s="230"/>
      <c r="AU41" s="230"/>
      <c r="AV41" s="258"/>
    </row>
    <row r="42" spans="1:48" ht="36" customHeight="1">
      <c r="B42" s="228" t="s">
        <v>171</v>
      </c>
      <c r="C42" s="229">
        <v>3898</v>
      </c>
      <c r="D42" s="230">
        <v>20</v>
      </c>
      <c r="E42" s="230">
        <v>4</v>
      </c>
      <c r="F42" s="230"/>
      <c r="G42" s="230">
        <v>50</v>
      </c>
      <c r="H42" s="230"/>
      <c r="I42" s="230"/>
      <c r="J42" s="230"/>
      <c r="K42" s="230"/>
      <c r="L42" s="230"/>
      <c r="M42" s="230"/>
      <c r="N42" s="230"/>
      <c r="O42" s="230">
        <v>35</v>
      </c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>
        <v>5</v>
      </c>
      <c r="AA42" s="230"/>
      <c r="AB42" s="230">
        <v>15</v>
      </c>
      <c r="AC42" s="230">
        <v>24</v>
      </c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>
        <v>415</v>
      </c>
      <c r="AP42" s="230">
        <v>507</v>
      </c>
      <c r="AQ42" s="230">
        <v>120</v>
      </c>
      <c r="AR42" s="230">
        <v>165</v>
      </c>
      <c r="AS42" s="230">
        <v>100</v>
      </c>
      <c r="AT42" s="230">
        <v>2438</v>
      </c>
      <c r="AU42" s="230"/>
      <c r="AV42" s="258"/>
    </row>
    <row r="43" spans="1:48" ht="36" customHeight="1">
      <c r="B43" s="228" t="s">
        <v>173</v>
      </c>
      <c r="C43" s="229">
        <v>5794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>
        <v>5794</v>
      </c>
      <c r="AV43" s="258"/>
    </row>
    <row r="44" spans="1:48" ht="36" customHeight="1">
      <c r="A44" s="255">
        <v>1</v>
      </c>
      <c r="B44" s="239" t="s">
        <v>250</v>
      </c>
      <c r="C44" s="243">
        <v>14609</v>
      </c>
      <c r="D44" s="243">
        <v>35</v>
      </c>
      <c r="E44" s="243">
        <v>4</v>
      </c>
      <c r="F44" s="243">
        <v>0</v>
      </c>
      <c r="G44" s="243">
        <v>65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43">
        <v>35</v>
      </c>
      <c r="P44" s="243">
        <v>0</v>
      </c>
      <c r="Q44" s="243">
        <v>0</v>
      </c>
      <c r="R44" s="243">
        <v>0</v>
      </c>
      <c r="S44" s="243">
        <v>0</v>
      </c>
      <c r="T44" s="243">
        <v>0</v>
      </c>
      <c r="U44" s="243">
        <v>0</v>
      </c>
      <c r="V44" s="243">
        <v>0</v>
      </c>
      <c r="W44" s="243">
        <v>0</v>
      </c>
      <c r="X44" s="243">
        <v>0</v>
      </c>
      <c r="Y44" s="243">
        <v>0</v>
      </c>
      <c r="Z44" s="243">
        <v>5</v>
      </c>
      <c r="AA44" s="243">
        <v>0</v>
      </c>
      <c r="AB44" s="243">
        <v>15</v>
      </c>
      <c r="AC44" s="243">
        <v>24</v>
      </c>
      <c r="AD44" s="243">
        <v>0</v>
      </c>
      <c r="AE44" s="243">
        <v>0</v>
      </c>
      <c r="AF44" s="243">
        <v>0</v>
      </c>
      <c r="AG44" s="243">
        <v>0</v>
      </c>
      <c r="AH44" s="243">
        <v>0</v>
      </c>
      <c r="AI44" s="243">
        <v>0</v>
      </c>
      <c r="AJ44" s="243">
        <v>0</v>
      </c>
      <c r="AK44" s="243">
        <v>0</v>
      </c>
      <c r="AL44" s="243">
        <v>0</v>
      </c>
      <c r="AM44" s="243">
        <v>0</v>
      </c>
      <c r="AN44" s="243">
        <v>0</v>
      </c>
      <c r="AO44" s="243">
        <v>415</v>
      </c>
      <c r="AP44" s="243">
        <v>507</v>
      </c>
      <c r="AQ44" s="243">
        <v>2583</v>
      </c>
      <c r="AR44" s="243">
        <v>1344</v>
      </c>
      <c r="AS44" s="243">
        <v>1345</v>
      </c>
      <c r="AT44" s="243">
        <v>2438</v>
      </c>
      <c r="AU44" s="243">
        <v>5794</v>
      </c>
      <c r="AV44" s="258"/>
    </row>
    <row r="45" spans="1:48" ht="36" customHeight="1">
      <c r="B45" s="228" t="s">
        <v>108</v>
      </c>
      <c r="C45" s="229">
        <v>663</v>
      </c>
      <c r="D45" s="230"/>
      <c r="E45" s="230"/>
      <c r="F45" s="230">
        <v>40</v>
      </c>
      <c r="G45" s="230"/>
      <c r="H45" s="230">
        <v>10</v>
      </c>
      <c r="I45" s="230"/>
      <c r="J45" s="230">
        <v>10</v>
      </c>
      <c r="K45" s="230">
        <v>212</v>
      </c>
      <c r="L45" s="230">
        <v>5</v>
      </c>
      <c r="M45" s="230">
        <v>95</v>
      </c>
      <c r="N45" s="230">
        <v>5</v>
      </c>
      <c r="O45" s="230">
        <v>10</v>
      </c>
      <c r="P45" s="230">
        <v>30</v>
      </c>
      <c r="Q45" s="230">
        <v>3</v>
      </c>
      <c r="R45" s="230">
        <v>100</v>
      </c>
      <c r="S45" s="230">
        <v>2</v>
      </c>
      <c r="T45" s="230">
        <v>10</v>
      </c>
      <c r="U45" s="230">
        <v>70</v>
      </c>
      <c r="V45" s="230">
        <v>15</v>
      </c>
      <c r="W45" s="230">
        <v>5</v>
      </c>
      <c r="X45" s="230"/>
      <c r="Y45" s="230"/>
      <c r="Z45" s="230"/>
      <c r="AA45" s="230">
        <v>20</v>
      </c>
      <c r="AB45" s="230">
        <v>10</v>
      </c>
      <c r="AC45" s="230"/>
      <c r="AD45" s="230"/>
      <c r="AE45" s="230">
        <v>1</v>
      </c>
      <c r="AF45" s="230"/>
      <c r="AG45" s="230"/>
      <c r="AH45" s="230">
        <v>10</v>
      </c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58"/>
    </row>
    <row r="46" spans="1:48" ht="36" customHeight="1">
      <c r="B46" s="228" t="s">
        <v>175</v>
      </c>
      <c r="C46" s="229">
        <v>1320</v>
      </c>
      <c r="D46" s="230">
        <v>23</v>
      </c>
      <c r="E46" s="230">
        <v>2</v>
      </c>
      <c r="F46" s="230"/>
      <c r="G46" s="230">
        <v>50</v>
      </c>
      <c r="H46" s="230"/>
      <c r="I46" s="230"/>
      <c r="J46" s="230"/>
      <c r="K46" s="230"/>
      <c r="L46" s="230"/>
      <c r="M46" s="230"/>
      <c r="N46" s="230"/>
      <c r="O46" s="230">
        <v>12</v>
      </c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>
        <v>22</v>
      </c>
      <c r="AA46" s="230"/>
      <c r="AB46" s="230">
        <v>32</v>
      </c>
      <c r="AC46" s="230">
        <v>12</v>
      </c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>
        <v>70</v>
      </c>
      <c r="AR46" s="230">
        <v>130</v>
      </c>
      <c r="AS46" s="230">
        <v>925</v>
      </c>
      <c r="AT46" s="230">
        <v>42</v>
      </c>
      <c r="AU46" s="230"/>
      <c r="AV46" s="258"/>
    </row>
    <row r="47" spans="1:48" ht="36" customHeight="1">
      <c r="B47" s="228" t="s">
        <v>177</v>
      </c>
      <c r="C47" s="229">
        <v>94</v>
      </c>
      <c r="D47" s="230"/>
      <c r="E47" s="230"/>
      <c r="F47" s="230">
        <v>15</v>
      </c>
      <c r="G47" s="230"/>
      <c r="H47" s="230">
        <v>5</v>
      </c>
      <c r="I47" s="230"/>
      <c r="J47" s="230">
        <v>5</v>
      </c>
      <c r="K47" s="230">
        <v>5</v>
      </c>
      <c r="L47" s="230">
        <v>5</v>
      </c>
      <c r="M47" s="230"/>
      <c r="N47" s="230">
        <v>5</v>
      </c>
      <c r="O47" s="230"/>
      <c r="P47" s="230">
        <v>3</v>
      </c>
      <c r="Q47" s="230"/>
      <c r="R47" s="230">
        <v>5</v>
      </c>
      <c r="S47" s="230"/>
      <c r="T47" s="230"/>
      <c r="U47" s="230"/>
      <c r="V47" s="230">
        <v>5</v>
      </c>
      <c r="W47" s="230">
        <v>2</v>
      </c>
      <c r="X47" s="230"/>
      <c r="Y47" s="230">
        <v>5</v>
      </c>
      <c r="Z47" s="230"/>
      <c r="AA47" s="230">
        <v>5</v>
      </c>
      <c r="AB47" s="230"/>
      <c r="AC47" s="230"/>
      <c r="AD47" s="230"/>
      <c r="AE47" s="230"/>
      <c r="AF47" s="230">
        <v>8</v>
      </c>
      <c r="AG47" s="230">
        <v>8</v>
      </c>
      <c r="AH47" s="230">
        <v>8</v>
      </c>
      <c r="AI47" s="230"/>
      <c r="AJ47" s="230"/>
      <c r="AK47" s="230"/>
      <c r="AL47" s="230">
        <v>5</v>
      </c>
      <c r="AM47" s="230"/>
      <c r="AN47" s="230"/>
      <c r="AO47" s="230"/>
      <c r="AP47" s="230"/>
      <c r="AQ47" s="230"/>
      <c r="AR47" s="230"/>
      <c r="AS47" s="230"/>
      <c r="AT47" s="230"/>
      <c r="AU47" s="230"/>
      <c r="AV47" s="258"/>
    </row>
    <row r="48" spans="1:48" ht="32.25" customHeight="1">
      <c r="B48" s="253" t="s">
        <v>179</v>
      </c>
      <c r="C48" s="229">
        <v>765</v>
      </c>
      <c r="D48" s="230"/>
      <c r="E48" s="230"/>
      <c r="F48" s="230">
        <v>15</v>
      </c>
      <c r="G48" s="230"/>
      <c r="H48" s="230">
        <v>5</v>
      </c>
      <c r="I48" s="230"/>
      <c r="J48" s="230">
        <v>25</v>
      </c>
      <c r="K48" s="230">
        <v>10</v>
      </c>
      <c r="L48" s="230">
        <v>45</v>
      </c>
      <c r="M48" s="230"/>
      <c r="N48" s="230">
        <v>10</v>
      </c>
      <c r="O48" s="230"/>
      <c r="P48" s="230">
        <v>7</v>
      </c>
      <c r="Q48" s="230"/>
      <c r="R48" s="230">
        <v>25</v>
      </c>
      <c r="S48" s="230"/>
      <c r="T48" s="230"/>
      <c r="U48" s="230"/>
      <c r="V48" s="230">
        <v>45</v>
      </c>
      <c r="W48" s="230">
        <v>3</v>
      </c>
      <c r="X48" s="230"/>
      <c r="Y48" s="230">
        <v>10</v>
      </c>
      <c r="Z48" s="230"/>
      <c r="AA48" s="230">
        <v>20</v>
      </c>
      <c r="AB48" s="230"/>
      <c r="AC48" s="230"/>
      <c r="AD48" s="230"/>
      <c r="AE48" s="230"/>
      <c r="AF48" s="230">
        <v>42</v>
      </c>
      <c r="AG48" s="230">
        <v>32</v>
      </c>
      <c r="AH48" s="230">
        <v>3</v>
      </c>
      <c r="AI48" s="230"/>
      <c r="AJ48" s="230">
        <v>448</v>
      </c>
      <c r="AK48" s="230"/>
      <c r="AL48" s="230">
        <v>20</v>
      </c>
      <c r="AM48" s="230"/>
      <c r="AN48" s="230"/>
      <c r="AO48" s="230"/>
      <c r="AP48" s="230"/>
      <c r="AQ48" s="230"/>
      <c r="AR48" s="230"/>
      <c r="AS48" s="230"/>
      <c r="AT48" s="230"/>
      <c r="AU48" s="230"/>
      <c r="AV48" s="258"/>
    </row>
    <row r="49" spans="1:48" ht="36" customHeight="1">
      <c r="B49" s="228" t="s">
        <v>115</v>
      </c>
      <c r="C49" s="229">
        <v>200</v>
      </c>
      <c r="D49" s="230">
        <v>15</v>
      </c>
      <c r="E49" s="230"/>
      <c r="F49" s="230"/>
      <c r="G49" s="230">
        <v>10</v>
      </c>
      <c r="H49" s="230"/>
      <c r="I49" s="230"/>
      <c r="J49" s="230"/>
      <c r="K49" s="230"/>
      <c r="L49" s="230"/>
      <c r="M49" s="230"/>
      <c r="N49" s="230"/>
      <c r="O49" s="230">
        <v>10</v>
      </c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>
        <v>5</v>
      </c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>
        <v>80</v>
      </c>
      <c r="AP49" s="230">
        <v>80</v>
      </c>
      <c r="AQ49" s="230"/>
      <c r="AR49" s="230"/>
      <c r="AS49" s="230"/>
      <c r="AT49" s="230"/>
      <c r="AU49" s="230"/>
      <c r="AV49" s="258"/>
    </row>
    <row r="50" spans="1:48" ht="36" customHeight="1">
      <c r="B50" s="228" t="s">
        <v>280</v>
      </c>
      <c r="C50" s="229">
        <v>167</v>
      </c>
      <c r="D50" s="230">
        <v>12</v>
      </c>
      <c r="E50" s="230"/>
      <c r="F50" s="230"/>
      <c r="G50" s="230"/>
      <c r="H50" s="254"/>
      <c r="I50" s="230"/>
      <c r="J50" s="230">
        <v>50</v>
      </c>
      <c r="K50" s="230">
        <v>40</v>
      </c>
      <c r="L50" s="254"/>
      <c r="M50" s="254"/>
      <c r="N50" s="254"/>
      <c r="O50" s="254"/>
      <c r="P50" s="254"/>
      <c r="Q50" s="254"/>
      <c r="R50" s="230">
        <v>49</v>
      </c>
      <c r="S50" s="230"/>
      <c r="T50" s="230"/>
      <c r="U50" s="230">
        <v>5</v>
      </c>
      <c r="V50" s="254"/>
      <c r="W50" s="254"/>
      <c r="X50" s="254"/>
      <c r="Y50" s="254"/>
      <c r="Z50" s="230"/>
      <c r="AA50" s="254"/>
      <c r="AB50" s="230"/>
      <c r="AC50" s="230">
        <v>5</v>
      </c>
      <c r="AD50" s="254"/>
      <c r="AE50" s="254"/>
      <c r="AF50" s="230">
        <v>6</v>
      </c>
      <c r="AG50" s="254"/>
      <c r="AH50" s="230"/>
      <c r="AI50" s="230"/>
      <c r="AJ50" s="230"/>
      <c r="AK50" s="254"/>
      <c r="AL50" s="254"/>
      <c r="AM50" s="230"/>
      <c r="AN50" s="230"/>
      <c r="AO50" s="230"/>
      <c r="AP50" s="230"/>
      <c r="AQ50" s="230"/>
      <c r="AR50" s="230"/>
      <c r="AS50" s="230"/>
      <c r="AT50" s="230"/>
      <c r="AU50" s="230"/>
      <c r="AV50" s="258"/>
    </row>
    <row r="51" spans="1:48" ht="36" customHeight="1">
      <c r="A51" s="255">
        <v>1</v>
      </c>
      <c r="B51" s="228"/>
      <c r="C51" s="243">
        <v>3209</v>
      </c>
      <c r="D51" s="243">
        <v>50</v>
      </c>
      <c r="E51" s="243">
        <v>2</v>
      </c>
      <c r="F51" s="243">
        <v>70</v>
      </c>
      <c r="G51" s="243">
        <v>60</v>
      </c>
      <c r="H51" s="243">
        <v>20</v>
      </c>
      <c r="I51" s="243">
        <v>0</v>
      </c>
      <c r="J51" s="243">
        <v>90</v>
      </c>
      <c r="K51" s="243">
        <v>267</v>
      </c>
      <c r="L51" s="243">
        <v>55</v>
      </c>
      <c r="M51" s="243">
        <v>95</v>
      </c>
      <c r="N51" s="243">
        <v>20</v>
      </c>
      <c r="O51" s="243">
        <v>32</v>
      </c>
      <c r="P51" s="243">
        <v>40</v>
      </c>
      <c r="Q51" s="243">
        <v>3</v>
      </c>
      <c r="R51" s="243">
        <v>179</v>
      </c>
      <c r="S51" s="243">
        <v>2</v>
      </c>
      <c r="T51" s="243">
        <v>10</v>
      </c>
      <c r="U51" s="243">
        <v>75</v>
      </c>
      <c r="V51" s="243">
        <v>65</v>
      </c>
      <c r="W51" s="243">
        <v>10</v>
      </c>
      <c r="X51" s="243">
        <v>0</v>
      </c>
      <c r="Y51" s="243">
        <v>15</v>
      </c>
      <c r="Z51" s="243">
        <v>22</v>
      </c>
      <c r="AA51" s="243">
        <v>45</v>
      </c>
      <c r="AB51" s="243">
        <v>47</v>
      </c>
      <c r="AC51" s="243">
        <v>17</v>
      </c>
      <c r="AD51" s="243">
        <v>0</v>
      </c>
      <c r="AE51" s="243">
        <v>1</v>
      </c>
      <c r="AF51" s="243">
        <v>56</v>
      </c>
      <c r="AG51" s="243">
        <v>40</v>
      </c>
      <c r="AH51" s="243">
        <v>21</v>
      </c>
      <c r="AI51" s="243">
        <v>0</v>
      </c>
      <c r="AJ51" s="243">
        <v>448</v>
      </c>
      <c r="AK51" s="243">
        <v>0</v>
      </c>
      <c r="AL51" s="243">
        <v>25</v>
      </c>
      <c r="AM51" s="243">
        <v>0</v>
      </c>
      <c r="AN51" s="243">
        <v>0</v>
      </c>
      <c r="AO51" s="243">
        <v>80</v>
      </c>
      <c r="AP51" s="243">
        <v>80</v>
      </c>
      <c r="AQ51" s="243">
        <v>70</v>
      </c>
      <c r="AR51" s="243">
        <v>130</v>
      </c>
      <c r="AS51" s="243">
        <v>925</v>
      </c>
      <c r="AT51" s="243">
        <v>42</v>
      </c>
      <c r="AU51" s="243">
        <v>0</v>
      </c>
      <c r="AV51" s="258"/>
    </row>
    <row r="52" spans="1:48" ht="35.25" customHeight="1">
      <c r="A52" s="255">
        <v>1</v>
      </c>
      <c r="B52" s="228" t="s">
        <v>272</v>
      </c>
      <c r="C52" s="240">
        <v>41475</v>
      </c>
      <c r="D52" s="240">
        <v>231</v>
      </c>
      <c r="E52" s="240">
        <v>37</v>
      </c>
      <c r="F52" s="240">
        <v>160</v>
      </c>
      <c r="G52" s="240">
        <v>325</v>
      </c>
      <c r="H52" s="240">
        <v>111</v>
      </c>
      <c r="I52" s="240">
        <v>1667</v>
      </c>
      <c r="J52" s="240">
        <v>422</v>
      </c>
      <c r="K52" s="240">
        <v>372</v>
      </c>
      <c r="L52" s="240">
        <v>1355</v>
      </c>
      <c r="M52" s="240">
        <v>266</v>
      </c>
      <c r="N52" s="240">
        <v>974</v>
      </c>
      <c r="O52" s="240">
        <v>517</v>
      </c>
      <c r="P52" s="240">
        <v>140</v>
      </c>
      <c r="Q52" s="240">
        <v>590</v>
      </c>
      <c r="R52" s="240">
        <v>229</v>
      </c>
      <c r="S52" s="240">
        <v>1001</v>
      </c>
      <c r="T52" s="240">
        <v>303</v>
      </c>
      <c r="U52" s="240">
        <v>279</v>
      </c>
      <c r="V52" s="240">
        <v>1171</v>
      </c>
      <c r="W52" s="240">
        <v>693</v>
      </c>
      <c r="X52" s="240">
        <v>1077</v>
      </c>
      <c r="Y52" s="240">
        <v>300</v>
      </c>
      <c r="Z52" s="240">
        <v>551</v>
      </c>
      <c r="AA52" s="240">
        <v>328</v>
      </c>
      <c r="AB52" s="240">
        <v>241</v>
      </c>
      <c r="AC52" s="240">
        <v>932</v>
      </c>
      <c r="AD52" s="240">
        <v>3160</v>
      </c>
      <c r="AE52" s="240">
        <v>1153</v>
      </c>
      <c r="AF52" s="240">
        <v>1590</v>
      </c>
      <c r="AG52" s="240">
        <v>1914</v>
      </c>
      <c r="AH52" s="240">
        <v>368</v>
      </c>
      <c r="AI52" s="240">
        <v>281</v>
      </c>
      <c r="AJ52" s="240">
        <v>448</v>
      </c>
      <c r="AK52" s="240">
        <v>889</v>
      </c>
      <c r="AL52" s="240">
        <v>1055</v>
      </c>
      <c r="AM52" s="240">
        <v>192</v>
      </c>
      <c r="AN52" s="240">
        <v>400</v>
      </c>
      <c r="AO52" s="240">
        <v>495</v>
      </c>
      <c r="AP52" s="240">
        <v>587</v>
      </c>
      <c r="AQ52" s="240">
        <v>2653</v>
      </c>
      <c r="AR52" s="240">
        <v>1474</v>
      </c>
      <c r="AS52" s="240">
        <v>2270</v>
      </c>
      <c r="AT52" s="240">
        <v>2480</v>
      </c>
      <c r="AU52" s="240">
        <v>5794</v>
      </c>
      <c r="AV52" s="258"/>
    </row>
    <row r="54" spans="1:48">
      <c r="C54" s="258"/>
    </row>
    <row r="55" spans="1:48"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</row>
  </sheetData>
  <autoFilter ref="B4:AV53">
    <filterColumn colId="33"/>
  </autoFilter>
  <mergeCells count="1">
    <mergeCell ref="B2:G2"/>
  </mergeCells>
  <conditionalFormatting sqref="B5:AU52 B2:G2 C4:AU4">
    <cfRule type="expression" dxfId="1539" priority="29" stopIfTrue="1">
      <formula>$A2=2</formula>
    </cfRule>
    <cfRule type="expression" dxfId="1538" priority="30" stopIfTrue="1">
      <formula>$A2=1</formula>
    </cfRule>
  </conditionalFormatting>
  <conditionalFormatting sqref="D52:AU52">
    <cfRule type="expression" dxfId="1537" priority="9" stopIfTrue="1">
      <formula>$A52=2</formula>
    </cfRule>
    <cfRule type="expression" dxfId="1536" priority="10" stopIfTrue="1">
      <formula>$A52=1</formula>
    </cfRule>
  </conditionalFormatting>
  <conditionalFormatting sqref="B28">
    <cfRule type="expression" dxfId="1535" priority="7">
      <formula>$A28=2</formula>
    </cfRule>
    <cfRule type="expression" dxfId="1534" priority="8">
      <formula>$A28=1</formula>
    </cfRule>
  </conditionalFormatting>
  <conditionalFormatting sqref="B38">
    <cfRule type="expression" dxfId="1533" priority="5">
      <formula>$A38=2</formula>
    </cfRule>
    <cfRule type="expression" dxfId="1532" priority="6">
      <formula>$A38=1</formula>
    </cfRule>
  </conditionalFormatting>
  <conditionalFormatting sqref="B44">
    <cfRule type="expression" dxfId="1531" priority="3">
      <formula>$A44=2</formula>
    </cfRule>
    <cfRule type="expression" dxfId="1530" priority="4">
      <formula>$A44=1</formula>
    </cfRule>
  </conditionalFormatting>
  <pageMargins left="0.11811023622047245" right="0.11811023622047245" top="0.39370078740157483" bottom="0.15748031496062992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AV1195"/>
  <sheetViews>
    <sheetView zoomScale="85" zoomScaleNormal="85" zoomScaleSheetLayoutView="85" workbookViewId="0">
      <pane xSplit="2" ySplit="5" topLeftCell="C6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5"/>
  <cols>
    <col min="1" max="1" width="5" style="212" hidden="1" customWidth="1"/>
    <col min="2" max="2" width="56" style="213" customWidth="1"/>
    <col min="3" max="3" width="19" style="214" customWidth="1"/>
    <col min="4" max="4" width="6.5703125" style="214" customWidth="1"/>
    <col min="5" max="5" width="7.42578125" style="214" customWidth="1"/>
    <col min="6" max="7" width="6.5703125" style="214" customWidth="1"/>
    <col min="8" max="29" width="6.5703125" style="216" customWidth="1"/>
    <col min="30" max="30" width="6.7109375" style="216" customWidth="1"/>
    <col min="31" max="33" width="6.85546875" style="216" customWidth="1"/>
    <col min="34" max="34" width="7.28515625" style="216" customWidth="1"/>
    <col min="35" max="36" width="7.140625" style="216" customWidth="1"/>
    <col min="37" max="37" width="7.42578125" style="216" customWidth="1"/>
    <col min="38" max="47" width="6.5703125" style="216" customWidth="1"/>
    <col min="48" max="86" width="9.140625" style="216" customWidth="1"/>
    <col min="87" max="87" width="68.28515625" style="216" customWidth="1"/>
    <col min="88" max="96" width="0" style="216" hidden="1" customWidth="1"/>
    <col min="97" max="99" width="14.85546875" style="216" customWidth="1"/>
    <col min="100" max="102" width="0" style="216" hidden="1" customWidth="1"/>
    <col min="103" max="103" width="12.7109375" style="216" customWidth="1"/>
    <col min="104" max="104" width="14.85546875" style="216" customWidth="1"/>
    <col min="105" max="105" width="12.7109375" style="216" customWidth="1"/>
    <col min="106" max="106" width="12.42578125" style="216" customWidth="1"/>
    <col min="107" max="107" width="13.140625" style="216" customWidth="1"/>
    <col min="108" max="109" width="12.42578125" style="216" customWidth="1"/>
    <col min="110" max="113" width="12.7109375" style="216" customWidth="1"/>
    <col min="114" max="114" width="14.85546875" style="216" customWidth="1"/>
    <col min="115" max="115" width="12.7109375" style="216" customWidth="1"/>
    <col min="116" max="116" width="14.85546875" style="216" customWidth="1"/>
    <col min="117" max="120" width="12.7109375" style="216" customWidth="1"/>
    <col min="121" max="121" width="14.85546875" style="216" customWidth="1"/>
    <col min="122" max="123" width="12.7109375" style="216" customWidth="1"/>
    <col min="124" max="124" width="14.85546875" style="216" customWidth="1"/>
    <col min="125" max="125" width="12.7109375" style="216" customWidth="1"/>
    <col min="126" max="140" width="0" style="216" hidden="1" customWidth="1"/>
    <col min="141" max="141" width="9.140625" style="216" customWidth="1"/>
    <col min="142" max="142" width="12" style="216" customWidth="1"/>
    <col min="143" max="143" width="66.28515625" style="216" customWidth="1"/>
    <col min="144" max="150" width="0" style="216" hidden="1" customWidth="1"/>
    <col min="151" max="151" width="15.140625" style="216" customWidth="1"/>
    <col min="152" max="152" width="0" style="216" hidden="1" customWidth="1"/>
    <col min="153" max="153" width="16.5703125" style="216" customWidth="1"/>
    <col min="154" max="157" width="0" style="216" hidden="1" customWidth="1"/>
    <col min="158" max="257" width="9.140625" style="216"/>
    <col min="258" max="258" width="0" style="216" hidden="1" customWidth="1"/>
    <col min="259" max="259" width="56" style="216" customWidth="1"/>
    <col min="260" max="260" width="19" style="216" customWidth="1"/>
    <col min="261" max="261" width="6.5703125" style="216" customWidth="1"/>
    <col min="262" max="262" width="7.42578125" style="216" customWidth="1"/>
    <col min="263" max="286" width="6.5703125" style="216" customWidth="1"/>
    <col min="287" max="287" width="6.7109375" style="216" customWidth="1"/>
    <col min="288" max="290" width="6.85546875" style="216" customWidth="1"/>
    <col min="291" max="291" width="7.28515625" style="216" customWidth="1"/>
    <col min="292" max="292" width="7.140625" style="216" customWidth="1"/>
    <col min="293" max="293" width="7.42578125" style="216" customWidth="1"/>
    <col min="294" max="303" width="6.5703125" style="216" customWidth="1"/>
    <col min="304" max="342" width="9.140625" style="216" customWidth="1"/>
    <col min="343" max="343" width="68.28515625" style="216" customWidth="1"/>
    <col min="344" max="352" width="0" style="216" hidden="1" customWidth="1"/>
    <col min="353" max="355" width="14.85546875" style="216" customWidth="1"/>
    <col min="356" max="358" width="0" style="216" hidden="1" customWidth="1"/>
    <col min="359" max="359" width="12.7109375" style="216" customWidth="1"/>
    <col min="360" max="360" width="14.85546875" style="216" customWidth="1"/>
    <col min="361" max="361" width="12.7109375" style="216" customWidth="1"/>
    <col min="362" max="362" width="12.42578125" style="216" customWidth="1"/>
    <col min="363" max="363" width="13.140625" style="216" customWidth="1"/>
    <col min="364" max="365" width="12.42578125" style="216" customWidth="1"/>
    <col min="366" max="369" width="12.7109375" style="216" customWidth="1"/>
    <col min="370" max="370" width="14.85546875" style="216" customWidth="1"/>
    <col min="371" max="371" width="12.7109375" style="216" customWidth="1"/>
    <col min="372" max="372" width="14.85546875" style="216" customWidth="1"/>
    <col min="373" max="376" width="12.7109375" style="216" customWidth="1"/>
    <col min="377" max="377" width="14.85546875" style="216" customWidth="1"/>
    <col min="378" max="379" width="12.7109375" style="216" customWidth="1"/>
    <col min="380" max="380" width="14.85546875" style="216" customWidth="1"/>
    <col min="381" max="381" width="12.7109375" style="216" customWidth="1"/>
    <col min="382" max="396" width="0" style="216" hidden="1" customWidth="1"/>
    <col min="397" max="397" width="9.140625" style="216" customWidth="1"/>
    <col min="398" max="398" width="12" style="216" customWidth="1"/>
    <col min="399" max="399" width="66.28515625" style="216" customWidth="1"/>
    <col min="400" max="406" width="0" style="216" hidden="1" customWidth="1"/>
    <col min="407" max="407" width="15.140625" style="216" customWidth="1"/>
    <col min="408" max="408" width="0" style="216" hidden="1" customWidth="1"/>
    <col min="409" max="409" width="16.5703125" style="216" customWidth="1"/>
    <col min="410" max="413" width="0" style="216" hidden="1" customWidth="1"/>
    <col min="414" max="513" width="9.140625" style="216"/>
    <col min="514" max="514" width="0" style="216" hidden="1" customWidth="1"/>
    <col min="515" max="515" width="56" style="216" customWidth="1"/>
    <col min="516" max="516" width="19" style="216" customWidth="1"/>
    <col min="517" max="517" width="6.5703125" style="216" customWidth="1"/>
    <col min="518" max="518" width="7.42578125" style="216" customWidth="1"/>
    <col min="519" max="542" width="6.5703125" style="216" customWidth="1"/>
    <col min="543" max="543" width="6.7109375" style="216" customWidth="1"/>
    <col min="544" max="546" width="6.85546875" style="216" customWidth="1"/>
    <col min="547" max="547" width="7.28515625" style="216" customWidth="1"/>
    <col min="548" max="548" width="7.140625" style="216" customWidth="1"/>
    <col min="549" max="549" width="7.42578125" style="216" customWidth="1"/>
    <col min="550" max="559" width="6.5703125" style="216" customWidth="1"/>
    <col min="560" max="598" width="9.140625" style="216" customWidth="1"/>
    <col min="599" max="599" width="68.28515625" style="216" customWidth="1"/>
    <col min="600" max="608" width="0" style="216" hidden="1" customWidth="1"/>
    <col min="609" max="611" width="14.85546875" style="216" customWidth="1"/>
    <col min="612" max="614" width="0" style="216" hidden="1" customWidth="1"/>
    <col min="615" max="615" width="12.7109375" style="216" customWidth="1"/>
    <col min="616" max="616" width="14.85546875" style="216" customWidth="1"/>
    <col min="617" max="617" width="12.7109375" style="216" customWidth="1"/>
    <col min="618" max="618" width="12.42578125" style="216" customWidth="1"/>
    <col min="619" max="619" width="13.140625" style="216" customWidth="1"/>
    <col min="620" max="621" width="12.42578125" style="216" customWidth="1"/>
    <col min="622" max="625" width="12.7109375" style="216" customWidth="1"/>
    <col min="626" max="626" width="14.85546875" style="216" customWidth="1"/>
    <col min="627" max="627" width="12.7109375" style="216" customWidth="1"/>
    <col min="628" max="628" width="14.85546875" style="216" customWidth="1"/>
    <col min="629" max="632" width="12.7109375" style="216" customWidth="1"/>
    <col min="633" max="633" width="14.85546875" style="216" customWidth="1"/>
    <col min="634" max="635" width="12.7109375" style="216" customWidth="1"/>
    <col min="636" max="636" width="14.85546875" style="216" customWidth="1"/>
    <col min="637" max="637" width="12.7109375" style="216" customWidth="1"/>
    <col min="638" max="652" width="0" style="216" hidden="1" customWidth="1"/>
    <col min="653" max="653" width="9.140625" style="216" customWidth="1"/>
    <col min="654" max="654" width="12" style="216" customWidth="1"/>
    <col min="655" max="655" width="66.28515625" style="216" customWidth="1"/>
    <col min="656" max="662" width="0" style="216" hidden="1" customWidth="1"/>
    <col min="663" max="663" width="15.140625" style="216" customWidth="1"/>
    <col min="664" max="664" width="0" style="216" hidden="1" customWidth="1"/>
    <col min="665" max="665" width="16.5703125" style="216" customWidth="1"/>
    <col min="666" max="669" width="0" style="216" hidden="1" customWidth="1"/>
    <col min="670" max="769" width="9.140625" style="216"/>
    <col min="770" max="770" width="0" style="216" hidden="1" customWidth="1"/>
    <col min="771" max="771" width="56" style="216" customWidth="1"/>
    <col min="772" max="772" width="19" style="216" customWidth="1"/>
    <col min="773" max="773" width="6.5703125" style="216" customWidth="1"/>
    <col min="774" max="774" width="7.42578125" style="216" customWidth="1"/>
    <col min="775" max="798" width="6.5703125" style="216" customWidth="1"/>
    <col min="799" max="799" width="6.7109375" style="216" customWidth="1"/>
    <col min="800" max="802" width="6.85546875" style="216" customWidth="1"/>
    <col min="803" max="803" width="7.28515625" style="216" customWidth="1"/>
    <col min="804" max="804" width="7.140625" style="216" customWidth="1"/>
    <col min="805" max="805" width="7.42578125" style="216" customWidth="1"/>
    <col min="806" max="815" width="6.5703125" style="216" customWidth="1"/>
    <col min="816" max="854" width="9.140625" style="216" customWidth="1"/>
    <col min="855" max="855" width="68.28515625" style="216" customWidth="1"/>
    <col min="856" max="864" width="0" style="216" hidden="1" customWidth="1"/>
    <col min="865" max="867" width="14.85546875" style="216" customWidth="1"/>
    <col min="868" max="870" width="0" style="216" hidden="1" customWidth="1"/>
    <col min="871" max="871" width="12.7109375" style="216" customWidth="1"/>
    <col min="872" max="872" width="14.85546875" style="216" customWidth="1"/>
    <col min="873" max="873" width="12.7109375" style="216" customWidth="1"/>
    <col min="874" max="874" width="12.42578125" style="216" customWidth="1"/>
    <col min="875" max="875" width="13.140625" style="216" customWidth="1"/>
    <col min="876" max="877" width="12.42578125" style="216" customWidth="1"/>
    <col min="878" max="881" width="12.7109375" style="216" customWidth="1"/>
    <col min="882" max="882" width="14.85546875" style="216" customWidth="1"/>
    <col min="883" max="883" width="12.7109375" style="216" customWidth="1"/>
    <col min="884" max="884" width="14.85546875" style="216" customWidth="1"/>
    <col min="885" max="888" width="12.7109375" style="216" customWidth="1"/>
    <col min="889" max="889" width="14.85546875" style="216" customWidth="1"/>
    <col min="890" max="891" width="12.7109375" style="216" customWidth="1"/>
    <col min="892" max="892" width="14.85546875" style="216" customWidth="1"/>
    <col min="893" max="893" width="12.7109375" style="216" customWidth="1"/>
    <col min="894" max="908" width="0" style="216" hidden="1" customWidth="1"/>
    <col min="909" max="909" width="9.140625" style="216" customWidth="1"/>
    <col min="910" max="910" width="12" style="216" customWidth="1"/>
    <col min="911" max="911" width="66.28515625" style="216" customWidth="1"/>
    <col min="912" max="918" width="0" style="216" hidden="1" customWidth="1"/>
    <col min="919" max="919" width="15.140625" style="216" customWidth="1"/>
    <col min="920" max="920" width="0" style="216" hidden="1" customWidth="1"/>
    <col min="921" max="921" width="16.5703125" style="216" customWidth="1"/>
    <col min="922" max="925" width="0" style="216" hidden="1" customWidth="1"/>
    <col min="926" max="1025" width="9.140625" style="216"/>
    <col min="1026" max="1026" width="0" style="216" hidden="1" customWidth="1"/>
    <col min="1027" max="1027" width="56" style="216" customWidth="1"/>
    <col min="1028" max="1028" width="19" style="216" customWidth="1"/>
    <col min="1029" max="1029" width="6.5703125" style="216" customWidth="1"/>
    <col min="1030" max="1030" width="7.42578125" style="216" customWidth="1"/>
    <col min="1031" max="1054" width="6.5703125" style="216" customWidth="1"/>
    <col min="1055" max="1055" width="6.7109375" style="216" customWidth="1"/>
    <col min="1056" max="1058" width="6.85546875" style="216" customWidth="1"/>
    <col min="1059" max="1059" width="7.28515625" style="216" customWidth="1"/>
    <col min="1060" max="1060" width="7.140625" style="216" customWidth="1"/>
    <col min="1061" max="1061" width="7.42578125" style="216" customWidth="1"/>
    <col min="1062" max="1071" width="6.5703125" style="216" customWidth="1"/>
    <col min="1072" max="1110" width="9.140625" style="216" customWidth="1"/>
    <col min="1111" max="1111" width="68.28515625" style="216" customWidth="1"/>
    <col min="1112" max="1120" width="0" style="216" hidden="1" customWidth="1"/>
    <col min="1121" max="1123" width="14.85546875" style="216" customWidth="1"/>
    <col min="1124" max="1126" width="0" style="216" hidden="1" customWidth="1"/>
    <col min="1127" max="1127" width="12.7109375" style="216" customWidth="1"/>
    <col min="1128" max="1128" width="14.85546875" style="216" customWidth="1"/>
    <col min="1129" max="1129" width="12.7109375" style="216" customWidth="1"/>
    <col min="1130" max="1130" width="12.42578125" style="216" customWidth="1"/>
    <col min="1131" max="1131" width="13.140625" style="216" customWidth="1"/>
    <col min="1132" max="1133" width="12.42578125" style="216" customWidth="1"/>
    <col min="1134" max="1137" width="12.7109375" style="216" customWidth="1"/>
    <col min="1138" max="1138" width="14.85546875" style="216" customWidth="1"/>
    <col min="1139" max="1139" width="12.7109375" style="216" customWidth="1"/>
    <col min="1140" max="1140" width="14.85546875" style="216" customWidth="1"/>
    <col min="1141" max="1144" width="12.7109375" style="216" customWidth="1"/>
    <col min="1145" max="1145" width="14.85546875" style="216" customWidth="1"/>
    <col min="1146" max="1147" width="12.7109375" style="216" customWidth="1"/>
    <col min="1148" max="1148" width="14.85546875" style="216" customWidth="1"/>
    <col min="1149" max="1149" width="12.7109375" style="216" customWidth="1"/>
    <col min="1150" max="1164" width="0" style="216" hidden="1" customWidth="1"/>
    <col min="1165" max="1165" width="9.140625" style="216" customWidth="1"/>
    <col min="1166" max="1166" width="12" style="216" customWidth="1"/>
    <col min="1167" max="1167" width="66.28515625" style="216" customWidth="1"/>
    <col min="1168" max="1174" width="0" style="216" hidden="1" customWidth="1"/>
    <col min="1175" max="1175" width="15.140625" style="216" customWidth="1"/>
    <col min="1176" max="1176" width="0" style="216" hidden="1" customWidth="1"/>
    <col min="1177" max="1177" width="16.5703125" style="216" customWidth="1"/>
    <col min="1178" max="1181" width="0" style="216" hidden="1" customWidth="1"/>
    <col min="1182" max="1281" width="9.140625" style="216"/>
    <col min="1282" max="1282" width="0" style="216" hidden="1" customWidth="1"/>
    <col min="1283" max="1283" width="56" style="216" customWidth="1"/>
    <col min="1284" max="1284" width="19" style="216" customWidth="1"/>
    <col min="1285" max="1285" width="6.5703125" style="216" customWidth="1"/>
    <col min="1286" max="1286" width="7.42578125" style="216" customWidth="1"/>
    <col min="1287" max="1310" width="6.5703125" style="216" customWidth="1"/>
    <col min="1311" max="1311" width="6.7109375" style="216" customWidth="1"/>
    <col min="1312" max="1314" width="6.85546875" style="216" customWidth="1"/>
    <col min="1315" max="1315" width="7.28515625" style="216" customWidth="1"/>
    <col min="1316" max="1316" width="7.140625" style="216" customWidth="1"/>
    <col min="1317" max="1317" width="7.42578125" style="216" customWidth="1"/>
    <col min="1318" max="1327" width="6.5703125" style="216" customWidth="1"/>
    <col min="1328" max="1366" width="9.140625" style="216" customWidth="1"/>
    <col min="1367" max="1367" width="68.28515625" style="216" customWidth="1"/>
    <col min="1368" max="1376" width="0" style="216" hidden="1" customWidth="1"/>
    <col min="1377" max="1379" width="14.85546875" style="216" customWidth="1"/>
    <col min="1380" max="1382" width="0" style="216" hidden="1" customWidth="1"/>
    <col min="1383" max="1383" width="12.7109375" style="216" customWidth="1"/>
    <col min="1384" max="1384" width="14.85546875" style="216" customWidth="1"/>
    <col min="1385" max="1385" width="12.7109375" style="216" customWidth="1"/>
    <col min="1386" max="1386" width="12.42578125" style="216" customWidth="1"/>
    <col min="1387" max="1387" width="13.140625" style="216" customWidth="1"/>
    <col min="1388" max="1389" width="12.42578125" style="216" customWidth="1"/>
    <col min="1390" max="1393" width="12.7109375" style="216" customWidth="1"/>
    <col min="1394" max="1394" width="14.85546875" style="216" customWidth="1"/>
    <col min="1395" max="1395" width="12.7109375" style="216" customWidth="1"/>
    <col min="1396" max="1396" width="14.85546875" style="216" customWidth="1"/>
    <col min="1397" max="1400" width="12.7109375" style="216" customWidth="1"/>
    <col min="1401" max="1401" width="14.85546875" style="216" customWidth="1"/>
    <col min="1402" max="1403" width="12.7109375" style="216" customWidth="1"/>
    <col min="1404" max="1404" width="14.85546875" style="216" customWidth="1"/>
    <col min="1405" max="1405" width="12.7109375" style="216" customWidth="1"/>
    <col min="1406" max="1420" width="0" style="216" hidden="1" customWidth="1"/>
    <col min="1421" max="1421" width="9.140625" style="216" customWidth="1"/>
    <col min="1422" max="1422" width="12" style="216" customWidth="1"/>
    <col min="1423" max="1423" width="66.28515625" style="216" customWidth="1"/>
    <col min="1424" max="1430" width="0" style="216" hidden="1" customWidth="1"/>
    <col min="1431" max="1431" width="15.140625" style="216" customWidth="1"/>
    <col min="1432" max="1432" width="0" style="216" hidden="1" customWidth="1"/>
    <col min="1433" max="1433" width="16.5703125" style="216" customWidth="1"/>
    <col min="1434" max="1437" width="0" style="216" hidden="1" customWidth="1"/>
    <col min="1438" max="1537" width="9.140625" style="216"/>
    <col min="1538" max="1538" width="0" style="216" hidden="1" customWidth="1"/>
    <col min="1539" max="1539" width="56" style="216" customWidth="1"/>
    <col min="1540" max="1540" width="19" style="216" customWidth="1"/>
    <col min="1541" max="1541" width="6.5703125" style="216" customWidth="1"/>
    <col min="1542" max="1542" width="7.42578125" style="216" customWidth="1"/>
    <col min="1543" max="1566" width="6.5703125" style="216" customWidth="1"/>
    <col min="1567" max="1567" width="6.7109375" style="216" customWidth="1"/>
    <col min="1568" max="1570" width="6.85546875" style="216" customWidth="1"/>
    <col min="1571" max="1571" width="7.28515625" style="216" customWidth="1"/>
    <col min="1572" max="1572" width="7.140625" style="216" customWidth="1"/>
    <col min="1573" max="1573" width="7.42578125" style="216" customWidth="1"/>
    <col min="1574" max="1583" width="6.5703125" style="216" customWidth="1"/>
    <col min="1584" max="1622" width="9.140625" style="216" customWidth="1"/>
    <col min="1623" max="1623" width="68.28515625" style="216" customWidth="1"/>
    <col min="1624" max="1632" width="0" style="216" hidden="1" customWidth="1"/>
    <col min="1633" max="1635" width="14.85546875" style="216" customWidth="1"/>
    <col min="1636" max="1638" width="0" style="216" hidden="1" customWidth="1"/>
    <col min="1639" max="1639" width="12.7109375" style="216" customWidth="1"/>
    <col min="1640" max="1640" width="14.85546875" style="216" customWidth="1"/>
    <col min="1641" max="1641" width="12.7109375" style="216" customWidth="1"/>
    <col min="1642" max="1642" width="12.42578125" style="216" customWidth="1"/>
    <col min="1643" max="1643" width="13.140625" style="216" customWidth="1"/>
    <col min="1644" max="1645" width="12.42578125" style="216" customWidth="1"/>
    <col min="1646" max="1649" width="12.7109375" style="216" customWidth="1"/>
    <col min="1650" max="1650" width="14.85546875" style="216" customWidth="1"/>
    <col min="1651" max="1651" width="12.7109375" style="216" customWidth="1"/>
    <col min="1652" max="1652" width="14.85546875" style="216" customWidth="1"/>
    <col min="1653" max="1656" width="12.7109375" style="216" customWidth="1"/>
    <col min="1657" max="1657" width="14.85546875" style="216" customWidth="1"/>
    <col min="1658" max="1659" width="12.7109375" style="216" customWidth="1"/>
    <col min="1660" max="1660" width="14.85546875" style="216" customWidth="1"/>
    <col min="1661" max="1661" width="12.7109375" style="216" customWidth="1"/>
    <col min="1662" max="1676" width="0" style="216" hidden="1" customWidth="1"/>
    <col min="1677" max="1677" width="9.140625" style="216" customWidth="1"/>
    <col min="1678" max="1678" width="12" style="216" customWidth="1"/>
    <col min="1679" max="1679" width="66.28515625" style="216" customWidth="1"/>
    <col min="1680" max="1686" width="0" style="216" hidden="1" customWidth="1"/>
    <col min="1687" max="1687" width="15.140625" style="216" customWidth="1"/>
    <col min="1688" max="1688" width="0" style="216" hidden="1" customWidth="1"/>
    <col min="1689" max="1689" width="16.5703125" style="216" customWidth="1"/>
    <col min="1690" max="1693" width="0" style="216" hidden="1" customWidth="1"/>
    <col min="1694" max="1793" width="9.140625" style="216"/>
    <col min="1794" max="1794" width="0" style="216" hidden="1" customWidth="1"/>
    <col min="1795" max="1795" width="56" style="216" customWidth="1"/>
    <col min="1796" max="1796" width="19" style="216" customWidth="1"/>
    <col min="1797" max="1797" width="6.5703125" style="216" customWidth="1"/>
    <col min="1798" max="1798" width="7.42578125" style="216" customWidth="1"/>
    <col min="1799" max="1822" width="6.5703125" style="216" customWidth="1"/>
    <col min="1823" max="1823" width="6.7109375" style="216" customWidth="1"/>
    <col min="1824" max="1826" width="6.85546875" style="216" customWidth="1"/>
    <col min="1827" max="1827" width="7.28515625" style="216" customWidth="1"/>
    <col min="1828" max="1828" width="7.140625" style="216" customWidth="1"/>
    <col min="1829" max="1829" width="7.42578125" style="216" customWidth="1"/>
    <col min="1830" max="1839" width="6.5703125" style="216" customWidth="1"/>
    <col min="1840" max="1878" width="9.140625" style="216" customWidth="1"/>
    <col min="1879" max="1879" width="68.28515625" style="216" customWidth="1"/>
    <col min="1880" max="1888" width="0" style="216" hidden="1" customWidth="1"/>
    <col min="1889" max="1891" width="14.85546875" style="216" customWidth="1"/>
    <col min="1892" max="1894" width="0" style="216" hidden="1" customWidth="1"/>
    <col min="1895" max="1895" width="12.7109375" style="216" customWidth="1"/>
    <col min="1896" max="1896" width="14.85546875" style="216" customWidth="1"/>
    <col min="1897" max="1897" width="12.7109375" style="216" customWidth="1"/>
    <col min="1898" max="1898" width="12.42578125" style="216" customWidth="1"/>
    <col min="1899" max="1899" width="13.140625" style="216" customWidth="1"/>
    <col min="1900" max="1901" width="12.42578125" style="216" customWidth="1"/>
    <col min="1902" max="1905" width="12.7109375" style="216" customWidth="1"/>
    <col min="1906" max="1906" width="14.85546875" style="216" customWidth="1"/>
    <col min="1907" max="1907" width="12.7109375" style="216" customWidth="1"/>
    <col min="1908" max="1908" width="14.85546875" style="216" customWidth="1"/>
    <col min="1909" max="1912" width="12.7109375" style="216" customWidth="1"/>
    <col min="1913" max="1913" width="14.85546875" style="216" customWidth="1"/>
    <col min="1914" max="1915" width="12.7109375" style="216" customWidth="1"/>
    <col min="1916" max="1916" width="14.85546875" style="216" customWidth="1"/>
    <col min="1917" max="1917" width="12.7109375" style="216" customWidth="1"/>
    <col min="1918" max="1932" width="0" style="216" hidden="1" customWidth="1"/>
    <col min="1933" max="1933" width="9.140625" style="216" customWidth="1"/>
    <col min="1934" max="1934" width="12" style="216" customWidth="1"/>
    <col min="1935" max="1935" width="66.28515625" style="216" customWidth="1"/>
    <col min="1936" max="1942" width="0" style="216" hidden="1" customWidth="1"/>
    <col min="1943" max="1943" width="15.140625" style="216" customWidth="1"/>
    <col min="1944" max="1944" width="0" style="216" hidden="1" customWidth="1"/>
    <col min="1945" max="1945" width="16.5703125" style="216" customWidth="1"/>
    <col min="1946" max="1949" width="0" style="216" hidden="1" customWidth="1"/>
    <col min="1950" max="2049" width="9.140625" style="216"/>
    <col min="2050" max="2050" width="0" style="216" hidden="1" customWidth="1"/>
    <col min="2051" max="2051" width="56" style="216" customWidth="1"/>
    <col min="2052" max="2052" width="19" style="216" customWidth="1"/>
    <col min="2053" max="2053" width="6.5703125" style="216" customWidth="1"/>
    <col min="2054" max="2054" width="7.42578125" style="216" customWidth="1"/>
    <col min="2055" max="2078" width="6.5703125" style="216" customWidth="1"/>
    <col min="2079" max="2079" width="6.7109375" style="216" customWidth="1"/>
    <col min="2080" max="2082" width="6.85546875" style="216" customWidth="1"/>
    <col min="2083" max="2083" width="7.28515625" style="216" customWidth="1"/>
    <col min="2084" max="2084" width="7.140625" style="216" customWidth="1"/>
    <col min="2085" max="2085" width="7.42578125" style="216" customWidth="1"/>
    <col min="2086" max="2095" width="6.5703125" style="216" customWidth="1"/>
    <col min="2096" max="2134" width="9.140625" style="216" customWidth="1"/>
    <col min="2135" max="2135" width="68.28515625" style="216" customWidth="1"/>
    <col min="2136" max="2144" width="0" style="216" hidden="1" customWidth="1"/>
    <col min="2145" max="2147" width="14.85546875" style="216" customWidth="1"/>
    <col min="2148" max="2150" width="0" style="216" hidden="1" customWidth="1"/>
    <col min="2151" max="2151" width="12.7109375" style="216" customWidth="1"/>
    <col min="2152" max="2152" width="14.85546875" style="216" customWidth="1"/>
    <col min="2153" max="2153" width="12.7109375" style="216" customWidth="1"/>
    <col min="2154" max="2154" width="12.42578125" style="216" customWidth="1"/>
    <col min="2155" max="2155" width="13.140625" style="216" customWidth="1"/>
    <col min="2156" max="2157" width="12.42578125" style="216" customWidth="1"/>
    <col min="2158" max="2161" width="12.7109375" style="216" customWidth="1"/>
    <col min="2162" max="2162" width="14.85546875" style="216" customWidth="1"/>
    <col min="2163" max="2163" width="12.7109375" style="216" customWidth="1"/>
    <col min="2164" max="2164" width="14.85546875" style="216" customWidth="1"/>
    <col min="2165" max="2168" width="12.7109375" style="216" customWidth="1"/>
    <col min="2169" max="2169" width="14.85546875" style="216" customWidth="1"/>
    <col min="2170" max="2171" width="12.7109375" style="216" customWidth="1"/>
    <col min="2172" max="2172" width="14.85546875" style="216" customWidth="1"/>
    <col min="2173" max="2173" width="12.7109375" style="216" customWidth="1"/>
    <col min="2174" max="2188" width="0" style="216" hidden="1" customWidth="1"/>
    <col min="2189" max="2189" width="9.140625" style="216" customWidth="1"/>
    <col min="2190" max="2190" width="12" style="216" customWidth="1"/>
    <col min="2191" max="2191" width="66.28515625" style="216" customWidth="1"/>
    <col min="2192" max="2198" width="0" style="216" hidden="1" customWidth="1"/>
    <col min="2199" max="2199" width="15.140625" style="216" customWidth="1"/>
    <col min="2200" max="2200" width="0" style="216" hidden="1" customWidth="1"/>
    <col min="2201" max="2201" width="16.5703125" style="216" customWidth="1"/>
    <col min="2202" max="2205" width="0" style="216" hidden="1" customWidth="1"/>
    <col min="2206" max="2305" width="9.140625" style="216"/>
    <col min="2306" max="2306" width="0" style="216" hidden="1" customWidth="1"/>
    <col min="2307" max="2307" width="56" style="216" customWidth="1"/>
    <col min="2308" max="2308" width="19" style="216" customWidth="1"/>
    <col min="2309" max="2309" width="6.5703125" style="216" customWidth="1"/>
    <col min="2310" max="2310" width="7.42578125" style="216" customWidth="1"/>
    <col min="2311" max="2334" width="6.5703125" style="216" customWidth="1"/>
    <col min="2335" max="2335" width="6.7109375" style="216" customWidth="1"/>
    <col min="2336" max="2338" width="6.85546875" style="216" customWidth="1"/>
    <col min="2339" max="2339" width="7.28515625" style="216" customWidth="1"/>
    <col min="2340" max="2340" width="7.140625" style="216" customWidth="1"/>
    <col min="2341" max="2341" width="7.42578125" style="216" customWidth="1"/>
    <col min="2342" max="2351" width="6.5703125" style="216" customWidth="1"/>
    <col min="2352" max="2390" width="9.140625" style="216" customWidth="1"/>
    <col min="2391" max="2391" width="68.28515625" style="216" customWidth="1"/>
    <col min="2392" max="2400" width="0" style="216" hidden="1" customWidth="1"/>
    <col min="2401" max="2403" width="14.85546875" style="216" customWidth="1"/>
    <col min="2404" max="2406" width="0" style="216" hidden="1" customWidth="1"/>
    <col min="2407" max="2407" width="12.7109375" style="216" customWidth="1"/>
    <col min="2408" max="2408" width="14.85546875" style="216" customWidth="1"/>
    <col min="2409" max="2409" width="12.7109375" style="216" customWidth="1"/>
    <col min="2410" max="2410" width="12.42578125" style="216" customWidth="1"/>
    <col min="2411" max="2411" width="13.140625" style="216" customWidth="1"/>
    <col min="2412" max="2413" width="12.42578125" style="216" customWidth="1"/>
    <col min="2414" max="2417" width="12.7109375" style="216" customWidth="1"/>
    <col min="2418" max="2418" width="14.85546875" style="216" customWidth="1"/>
    <col min="2419" max="2419" width="12.7109375" style="216" customWidth="1"/>
    <col min="2420" max="2420" width="14.85546875" style="216" customWidth="1"/>
    <col min="2421" max="2424" width="12.7109375" style="216" customWidth="1"/>
    <col min="2425" max="2425" width="14.85546875" style="216" customWidth="1"/>
    <col min="2426" max="2427" width="12.7109375" style="216" customWidth="1"/>
    <col min="2428" max="2428" width="14.85546875" style="216" customWidth="1"/>
    <col min="2429" max="2429" width="12.7109375" style="216" customWidth="1"/>
    <col min="2430" max="2444" width="0" style="216" hidden="1" customWidth="1"/>
    <col min="2445" max="2445" width="9.140625" style="216" customWidth="1"/>
    <col min="2446" max="2446" width="12" style="216" customWidth="1"/>
    <col min="2447" max="2447" width="66.28515625" style="216" customWidth="1"/>
    <col min="2448" max="2454" width="0" style="216" hidden="1" customWidth="1"/>
    <col min="2455" max="2455" width="15.140625" style="216" customWidth="1"/>
    <col min="2456" max="2456" width="0" style="216" hidden="1" customWidth="1"/>
    <col min="2457" max="2457" width="16.5703125" style="216" customWidth="1"/>
    <col min="2458" max="2461" width="0" style="216" hidden="1" customWidth="1"/>
    <col min="2462" max="2561" width="9.140625" style="216"/>
    <col min="2562" max="2562" width="0" style="216" hidden="1" customWidth="1"/>
    <col min="2563" max="2563" width="56" style="216" customWidth="1"/>
    <col min="2564" max="2564" width="19" style="216" customWidth="1"/>
    <col min="2565" max="2565" width="6.5703125" style="216" customWidth="1"/>
    <col min="2566" max="2566" width="7.42578125" style="216" customWidth="1"/>
    <col min="2567" max="2590" width="6.5703125" style="216" customWidth="1"/>
    <col min="2591" max="2591" width="6.7109375" style="216" customWidth="1"/>
    <col min="2592" max="2594" width="6.85546875" style="216" customWidth="1"/>
    <col min="2595" max="2595" width="7.28515625" style="216" customWidth="1"/>
    <col min="2596" max="2596" width="7.140625" style="216" customWidth="1"/>
    <col min="2597" max="2597" width="7.42578125" style="216" customWidth="1"/>
    <col min="2598" max="2607" width="6.5703125" style="216" customWidth="1"/>
    <col min="2608" max="2646" width="9.140625" style="216" customWidth="1"/>
    <col min="2647" max="2647" width="68.28515625" style="216" customWidth="1"/>
    <col min="2648" max="2656" width="0" style="216" hidden="1" customWidth="1"/>
    <col min="2657" max="2659" width="14.85546875" style="216" customWidth="1"/>
    <col min="2660" max="2662" width="0" style="216" hidden="1" customWidth="1"/>
    <col min="2663" max="2663" width="12.7109375" style="216" customWidth="1"/>
    <col min="2664" max="2664" width="14.85546875" style="216" customWidth="1"/>
    <col min="2665" max="2665" width="12.7109375" style="216" customWidth="1"/>
    <col min="2666" max="2666" width="12.42578125" style="216" customWidth="1"/>
    <col min="2667" max="2667" width="13.140625" style="216" customWidth="1"/>
    <col min="2668" max="2669" width="12.42578125" style="216" customWidth="1"/>
    <col min="2670" max="2673" width="12.7109375" style="216" customWidth="1"/>
    <col min="2674" max="2674" width="14.85546875" style="216" customWidth="1"/>
    <col min="2675" max="2675" width="12.7109375" style="216" customWidth="1"/>
    <col min="2676" max="2676" width="14.85546875" style="216" customWidth="1"/>
    <col min="2677" max="2680" width="12.7109375" style="216" customWidth="1"/>
    <col min="2681" max="2681" width="14.85546875" style="216" customWidth="1"/>
    <col min="2682" max="2683" width="12.7109375" style="216" customWidth="1"/>
    <col min="2684" max="2684" width="14.85546875" style="216" customWidth="1"/>
    <col min="2685" max="2685" width="12.7109375" style="216" customWidth="1"/>
    <col min="2686" max="2700" width="0" style="216" hidden="1" customWidth="1"/>
    <col min="2701" max="2701" width="9.140625" style="216" customWidth="1"/>
    <col min="2702" max="2702" width="12" style="216" customWidth="1"/>
    <col min="2703" max="2703" width="66.28515625" style="216" customWidth="1"/>
    <col min="2704" max="2710" width="0" style="216" hidden="1" customWidth="1"/>
    <col min="2711" max="2711" width="15.140625" style="216" customWidth="1"/>
    <col min="2712" max="2712" width="0" style="216" hidden="1" customWidth="1"/>
    <col min="2713" max="2713" width="16.5703125" style="216" customWidth="1"/>
    <col min="2714" max="2717" width="0" style="216" hidden="1" customWidth="1"/>
    <col min="2718" max="2817" width="9.140625" style="216"/>
    <col min="2818" max="2818" width="0" style="216" hidden="1" customWidth="1"/>
    <col min="2819" max="2819" width="56" style="216" customWidth="1"/>
    <col min="2820" max="2820" width="19" style="216" customWidth="1"/>
    <col min="2821" max="2821" width="6.5703125" style="216" customWidth="1"/>
    <col min="2822" max="2822" width="7.42578125" style="216" customWidth="1"/>
    <col min="2823" max="2846" width="6.5703125" style="216" customWidth="1"/>
    <col min="2847" max="2847" width="6.7109375" style="216" customWidth="1"/>
    <col min="2848" max="2850" width="6.85546875" style="216" customWidth="1"/>
    <col min="2851" max="2851" width="7.28515625" style="216" customWidth="1"/>
    <col min="2852" max="2852" width="7.140625" style="216" customWidth="1"/>
    <col min="2853" max="2853" width="7.42578125" style="216" customWidth="1"/>
    <col min="2854" max="2863" width="6.5703125" style="216" customWidth="1"/>
    <col min="2864" max="2902" width="9.140625" style="216" customWidth="1"/>
    <col min="2903" max="2903" width="68.28515625" style="216" customWidth="1"/>
    <col min="2904" max="2912" width="0" style="216" hidden="1" customWidth="1"/>
    <col min="2913" max="2915" width="14.85546875" style="216" customWidth="1"/>
    <col min="2916" max="2918" width="0" style="216" hidden="1" customWidth="1"/>
    <col min="2919" max="2919" width="12.7109375" style="216" customWidth="1"/>
    <col min="2920" max="2920" width="14.85546875" style="216" customWidth="1"/>
    <col min="2921" max="2921" width="12.7109375" style="216" customWidth="1"/>
    <col min="2922" max="2922" width="12.42578125" style="216" customWidth="1"/>
    <col min="2923" max="2923" width="13.140625" style="216" customWidth="1"/>
    <col min="2924" max="2925" width="12.42578125" style="216" customWidth="1"/>
    <col min="2926" max="2929" width="12.7109375" style="216" customWidth="1"/>
    <col min="2930" max="2930" width="14.85546875" style="216" customWidth="1"/>
    <col min="2931" max="2931" width="12.7109375" style="216" customWidth="1"/>
    <col min="2932" max="2932" width="14.85546875" style="216" customWidth="1"/>
    <col min="2933" max="2936" width="12.7109375" style="216" customWidth="1"/>
    <col min="2937" max="2937" width="14.85546875" style="216" customWidth="1"/>
    <col min="2938" max="2939" width="12.7109375" style="216" customWidth="1"/>
    <col min="2940" max="2940" width="14.85546875" style="216" customWidth="1"/>
    <col min="2941" max="2941" width="12.7109375" style="216" customWidth="1"/>
    <col min="2942" max="2956" width="0" style="216" hidden="1" customWidth="1"/>
    <col min="2957" max="2957" width="9.140625" style="216" customWidth="1"/>
    <col min="2958" max="2958" width="12" style="216" customWidth="1"/>
    <col min="2959" max="2959" width="66.28515625" style="216" customWidth="1"/>
    <col min="2960" max="2966" width="0" style="216" hidden="1" customWidth="1"/>
    <col min="2967" max="2967" width="15.140625" style="216" customWidth="1"/>
    <col min="2968" max="2968" width="0" style="216" hidden="1" customWidth="1"/>
    <col min="2969" max="2969" width="16.5703125" style="216" customWidth="1"/>
    <col min="2970" max="2973" width="0" style="216" hidden="1" customWidth="1"/>
    <col min="2974" max="3073" width="9.140625" style="216"/>
    <col min="3074" max="3074" width="0" style="216" hidden="1" customWidth="1"/>
    <col min="3075" max="3075" width="56" style="216" customWidth="1"/>
    <col min="3076" max="3076" width="19" style="216" customWidth="1"/>
    <col min="3077" max="3077" width="6.5703125" style="216" customWidth="1"/>
    <col min="3078" max="3078" width="7.42578125" style="216" customWidth="1"/>
    <col min="3079" max="3102" width="6.5703125" style="216" customWidth="1"/>
    <col min="3103" max="3103" width="6.7109375" style="216" customWidth="1"/>
    <col min="3104" max="3106" width="6.85546875" style="216" customWidth="1"/>
    <col min="3107" max="3107" width="7.28515625" style="216" customWidth="1"/>
    <col min="3108" max="3108" width="7.140625" style="216" customWidth="1"/>
    <col min="3109" max="3109" width="7.42578125" style="216" customWidth="1"/>
    <col min="3110" max="3119" width="6.5703125" style="216" customWidth="1"/>
    <col min="3120" max="3158" width="9.140625" style="216" customWidth="1"/>
    <col min="3159" max="3159" width="68.28515625" style="216" customWidth="1"/>
    <col min="3160" max="3168" width="0" style="216" hidden="1" customWidth="1"/>
    <col min="3169" max="3171" width="14.85546875" style="216" customWidth="1"/>
    <col min="3172" max="3174" width="0" style="216" hidden="1" customWidth="1"/>
    <col min="3175" max="3175" width="12.7109375" style="216" customWidth="1"/>
    <col min="3176" max="3176" width="14.85546875" style="216" customWidth="1"/>
    <col min="3177" max="3177" width="12.7109375" style="216" customWidth="1"/>
    <col min="3178" max="3178" width="12.42578125" style="216" customWidth="1"/>
    <col min="3179" max="3179" width="13.140625" style="216" customWidth="1"/>
    <col min="3180" max="3181" width="12.42578125" style="216" customWidth="1"/>
    <col min="3182" max="3185" width="12.7109375" style="216" customWidth="1"/>
    <col min="3186" max="3186" width="14.85546875" style="216" customWidth="1"/>
    <col min="3187" max="3187" width="12.7109375" style="216" customWidth="1"/>
    <col min="3188" max="3188" width="14.85546875" style="216" customWidth="1"/>
    <col min="3189" max="3192" width="12.7109375" style="216" customWidth="1"/>
    <col min="3193" max="3193" width="14.85546875" style="216" customWidth="1"/>
    <col min="3194" max="3195" width="12.7109375" style="216" customWidth="1"/>
    <col min="3196" max="3196" width="14.85546875" style="216" customWidth="1"/>
    <col min="3197" max="3197" width="12.7109375" style="216" customWidth="1"/>
    <col min="3198" max="3212" width="0" style="216" hidden="1" customWidth="1"/>
    <col min="3213" max="3213" width="9.140625" style="216" customWidth="1"/>
    <col min="3214" max="3214" width="12" style="216" customWidth="1"/>
    <col min="3215" max="3215" width="66.28515625" style="216" customWidth="1"/>
    <col min="3216" max="3222" width="0" style="216" hidden="1" customWidth="1"/>
    <col min="3223" max="3223" width="15.140625" style="216" customWidth="1"/>
    <col min="3224" max="3224" width="0" style="216" hidden="1" customWidth="1"/>
    <col min="3225" max="3225" width="16.5703125" style="216" customWidth="1"/>
    <col min="3226" max="3229" width="0" style="216" hidden="1" customWidth="1"/>
    <col min="3230" max="3329" width="9.140625" style="216"/>
    <col min="3330" max="3330" width="0" style="216" hidden="1" customWidth="1"/>
    <col min="3331" max="3331" width="56" style="216" customWidth="1"/>
    <col min="3332" max="3332" width="19" style="216" customWidth="1"/>
    <col min="3333" max="3333" width="6.5703125" style="216" customWidth="1"/>
    <col min="3334" max="3334" width="7.42578125" style="216" customWidth="1"/>
    <col min="3335" max="3358" width="6.5703125" style="216" customWidth="1"/>
    <col min="3359" max="3359" width="6.7109375" style="216" customWidth="1"/>
    <col min="3360" max="3362" width="6.85546875" style="216" customWidth="1"/>
    <col min="3363" max="3363" width="7.28515625" style="216" customWidth="1"/>
    <col min="3364" max="3364" width="7.140625" style="216" customWidth="1"/>
    <col min="3365" max="3365" width="7.42578125" style="216" customWidth="1"/>
    <col min="3366" max="3375" width="6.5703125" style="216" customWidth="1"/>
    <col min="3376" max="3414" width="9.140625" style="216" customWidth="1"/>
    <col min="3415" max="3415" width="68.28515625" style="216" customWidth="1"/>
    <col min="3416" max="3424" width="0" style="216" hidden="1" customWidth="1"/>
    <col min="3425" max="3427" width="14.85546875" style="216" customWidth="1"/>
    <col min="3428" max="3430" width="0" style="216" hidden="1" customWidth="1"/>
    <col min="3431" max="3431" width="12.7109375" style="216" customWidth="1"/>
    <col min="3432" max="3432" width="14.85546875" style="216" customWidth="1"/>
    <col min="3433" max="3433" width="12.7109375" style="216" customWidth="1"/>
    <col min="3434" max="3434" width="12.42578125" style="216" customWidth="1"/>
    <col min="3435" max="3435" width="13.140625" style="216" customWidth="1"/>
    <col min="3436" max="3437" width="12.42578125" style="216" customWidth="1"/>
    <col min="3438" max="3441" width="12.7109375" style="216" customWidth="1"/>
    <col min="3442" max="3442" width="14.85546875" style="216" customWidth="1"/>
    <col min="3443" max="3443" width="12.7109375" style="216" customWidth="1"/>
    <col min="3444" max="3444" width="14.85546875" style="216" customWidth="1"/>
    <col min="3445" max="3448" width="12.7109375" style="216" customWidth="1"/>
    <col min="3449" max="3449" width="14.85546875" style="216" customWidth="1"/>
    <col min="3450" max="3451" width="12.7109375" style="216" customWidth="1"/>
    <col min="3452" max="3452" width="14.85546875" style="216" customWidth="1"/>
    <col min="3453" max="3453" width="12.7109375" style="216" customWidth="1"/>
    <col min="3454" max="3468" width="0" style="216" hidden="1" customWidth="1"/>
    <col min="3469" max="3469" width="9.140625" style="216" customWidth="1"/>
    <col min="3470" max="3470" width="12" style="216" customWidth="1"/>
    <col min="3471" max="3471" width="66.28515625" style="216" customWidth="1"/>
    <col min="3472" max="3478" width="0" style="216" hidden="1" customWidth="1"/>
    <col min="3479" max="3479" width="15.140625" style="216" customWidth="1"/>
    <col min="3480" max="3480" width="0" style="216" hidden="1" customWidth="1"/>
    <col min="3481" max="3481" width="16.5703125" style="216" customWidth="1"/>
    <col min="3482" max="3485" width="0" style="216" hidden="1" customWidth="1"/>
    <col min="3486" max="3585" width="9.140625" style="216"/>
    <col min="3586" max="3586" width="0" style="216" hidden="1" customWidth="1"/>
    <col min="3587" max="3587" width="56" style="216" customWidth="1"/>
    <col min="3588" max="3588" width="19" style="216" customWidth="1"/>
    <col min="3589" max="3589" width="6.5703125" style="216" customWidth="1"/>
    <col min="3590" max="3590" width="7.42578125" style="216" customWidth="1"/>
    <col min="3591" max="3614" width="6.5703125" style="216" customWidth="1"/>
    <col min="3615" max="3615" width="6.7109375" style="216" customWidth="1"/>
    <col min="3616" max="3618" width="6.85546875" style="216" customWidth="1"/>
    <col min="3619" max="3619" width="7.28515625" style="216" customWidth="1"/>
    <col min="3620" max="3620" width="7.140625" style="216" customWidth="1"/>
    <col min="3621" max="3621" width="7.42578125" style="216" customWidth="1"/>
    <col min="3622" max="3631" width="6.5703125" style="216" customWidth="1"/>
    <col min="3632" max="3670" width="9.140625" style="216" customWidth="1"/>
    <col min="3671" max="3671" width="68.28515625" style="216" customWidth="1"/>
    <col min="3672" max="3680" width="0" style="216" hidden="1" customWidth="1"/>
    <col min="3681" max="3683" width="14.85546875" style="216" customWidth="1"/>
    <col min="3684" max="3686" width="0" style="216" hidden="1" customWidth="1"/>
    <col min="3687" max="3687" width="12.7109375" style="216" customWidth="1"/>
    <col min="3688" max="3688" width="14.85546875" style="216" customWidth="1"/>
    <col min="3689" max="3689" width="12.7109375" style="216" customWidth="1"/>
    <col min="3690" max="3690" width="12.42578125" style="216" customWidth="1"/>
    <col min="3691" max="3691" width="13.140625" style="216" customWidth="1"/>
    <col min="3692" max="3693" width="12.42578125" style="216" customWidth="1"/>
    <col min="3694" max="3697" width="12.7109375" style="216" customWidth="1"/>
    <col min="3698" max="3698" width="14.85546875" style="216" customWidth="1"/>
    <col min="3699" max="3699" width="12.7109375" style="216" customWidth="1"/>
    <col min="3700" max="3700" width="14.85546875" style="216" customWidth="1"/>
    <col min="3701" max="3704" width="12.7109375" style="216" customWidth="1"/>
    <col min="3705" max="3705" width="14.85546875" style="216" customWidth="1"/>
    <col min="3706" max="3707" width="12.7109375" style="216" customWidth="1"/>
    <col min="3708" max="3708" width="14.85546875" style="216" customWidth="1"/>
    <col min="3709" max="3709" width="12.7109375" style="216" customWidth="1"/>
    <col min="3710" max="3724" width="0" style="216" hidden="1" customWidth="1"/>
    <col min="3725" max="3725" width="9.140625" style="216" customWidth="1"/>
    <col min="3726" max="3726" width="12" style="216" customWidth="1"/>
    <col min="3727" max="3727" width="66.28515625" style="216" customWidth="1"/>
    <col min="3728" max="3734" width="0" style="216" hidden="1" customWidth="1"/>
    <col min="3735" max="3735" width="15.140625" style="216" customWidth="1"/>
    <col min="3736" max="3736" width="0" style="216" hidden="1" customWidth="1"/>
    <col min="3737" max="3737" width="16.5703125" style="216" customWidth="1"/>
    <col min="3738" max="3741" width="0" style="216" hidden="1" customWidth="1"/>
    <col min="3742" max="3841" width="9.140625" style="216"/>
    <col min="3842" max="3842" width="0" style="216" hidden="1" customWidth="1"/>
    <col min="3843" max="3843" width="56" style="216" customWidth="1"/>
    <col min="3844" max="3844" width="19" style="216" customWidth="1"/>
    <col min="3845" max="3845" width="6.5703125" style="216" customWidth="1"/>
    <col min="3846" max="3846" width="7.42578125" style="216" customWidth="1"/>
    <col min="3847" max="3870" width="6.5703125" style="216" customWidth="1"/>
    <col min="3871" max="3871" width="6.7109375" style="216" customWidth="1"/>
    <col min="3872" max="3874" width="6.85546875" style="216" customWidth="1"/>
    <col min="3875" max="3875" width="7.28515625" style="216" customWidth="1"/>
    <col min="3876" max="3876" width="7.140625" style="216" customWidth="1"/>
    <col min="3877" max="3877" width="7.42578125" style="216" customWidth="1"/>
    <col min="3878" max="3887" width="6.5703125" style="216" customWidth="1"/>
    <col min="3888" max="3926" width="9.140625" style="216" customWidth="1"/>
    <col min="3927" max="3927" width="68.28515625" style="216" customWidth="1"/>
    <col min="3928" max="3936" width="0" style="216" hidden="1" customWidth="1"/>
    <col min="3937" max="3939" width="14.85546875" style="216" customWidth="1"/>
    <col min="3940" max="3942" width="0" style="216" hidden="1" customWidth="1"/>
    <col min="3943" max="3943" width="12.7109375" style="216" customWidth="1"/>
    <col min="3944" max="3944" width="14.85546875" style="216" customWidth="1"/>
    <col min="3945" max="3945" width="12.7109375" style="216" customWidth="1"/>
    <col min="3946" max="3946" width="12.42578125" style="216" customWidth="1"/>
    <col min="3947" max="3947" width="13.140625" style="216" customWidth="1"/>
    <col min="3948" max="3949" width="12.42578125" style="216" customWidth="1"/>
    <col min="3950" max="3953" width="12.7109375" style="216" customWidth="1"/>
    <col min="3954" max="3954" width="14.85546875" style="216" customWidth="1"/>
    <col min="3955" max="3955" width="12.7109375" style="216" customWidth="1"/>
    <col min="3956" max="3956" width="14.85546875" style="216" customWidth="1"/>
    <col min="3957" max="3960" width="12.7109375" style="216" customWidth="1"/>
    <col min="3961" max="3961" width="14.85546875" style="216" customWidth="1"/>
    <col min="3962" max="3963" width="12.7109375" style="216" customWidth="1"/>
    <col min="3964" max="3964" width="14.85546875" style="216" customWidth="1"/>
    <col min="3965" max="3965" width="12.7109375" style="216" customWidth="1"/>
    <col min="3966" max="3980" width="0" style="216" hidden="1" customWidth="1"/>
    <col min="3981" max="3981" width="9.140625" style="216" customWidth="1"/>
    <col min="3982" max="3982" width="12" style="216" customWidth="1"/>
    <col min="3983" max="3983" width="66.28515625" style="216" customWidth="1"/>
    <col min="3984" max="3990" width="0" style="216" hidden="1" customWidth="1"/>
    <col min="3991" max="3991" width="15.140625" style="216" customWidth="1"/>
    <col min="3992" max="3992" width="0" style="216" hidden="1" customWidth="1"/>
    <col min="3993" max="3993" width="16.5703125" style="216" customWidth="1"/>
    <col min="3994" max="3997" width="0" style="216" hidden="1" customWidth="1"/>
    <col min="3998" max="4097" width="9.140625" style="216"/>
    <col min="4098" max="4098" width="0" style="216" hidden="1" customWidth="1"/>
    <col min="4099" max="4099" width="56" style="216" customWidth="1"/>
    <col min="4100" max="4100" width="19" style="216" customWidth="1"/>
    <col min="4101" max="4101" width="6.5703125" style="216" customWidth="1"/>
    <col min="4102" max="4102" width="7.42578125" style="216" customWidth="1"/>
    <col min="4103" max="4126" width="6.5703125" style="216" customWidth="1"/>
    <col min="4127" max="4127" width="6.7109375" style="216" customWidth="1"/>
    <col min="4128" max="4130" width="6.85546875" style="216" customWidth="1"/>
    <col min="4131" max="4131" width="7.28515625" style="216" customWidth="1"/>
    <col min="4132" max="4132" width="7.140625" style="216" customWidth="1"/>
    <col min="4133" max="4133" width="7.42578125" style="216" customWidth="1"/>
    <col min="4134" max="4143" width="6.5703125" style="216" customWidth="1"/>
    <col min="4144" max="4182" width="9.140625" style="216" customWidth="1"/>
    <col min="4183" max="4183" width="68.28515625" style="216" customWidth="1"/>
    <col min="4184" max="4192" width="0" style="216" hidden="1" customWidth="1"/>
    <col min="4193" max="4195" width="14.85546875" style="216" customWidth="1"/>
    <col min="4196" max="4198" width="0" style="216" hidden="1" customWidth="1"/>
    <col min="4199" max="4199" width="12.7109375" style="216" customWidth="1"/>
    <col min="4200" max="4200" width="14.85546875" style="216" customWidth="1"/>
    <col min="4201" max="4201" width="12.7109375" style="216" customWidth="1"/>
    <col min="4202" max="4202" width="12.42578125" style="216" customWidth="1"/>
    <col min="4203" max="4203" width="13.140625" style="216" customWidth="1"/>
    <col min="4204" max="4205" width="12.42578125" style="216" customWidth="1"/>
    <col min="4206" max="4209" width="12.7109375" style="216" customWidth="1"/>
    <col min="4210" max="4210" width="14.85546875" style="216" customWidth="1"/>
    <col min="4211" max="4211" width="12.7109375" style="216" customWidth="1"/>
    <col min="4212" max="4212" width="14.85546875" style="216" customWidth="1"/>
    <col min="4213" max="4216" width="12.7109375" style="216" customWidth="1"/>
    <col min="4217" max="4217" width="14.85546875" style="216" customWidth="1"/>
    <col min="4218" max="4219" width="12.7109375" style="216" customWidth="1"/>
    <col min="4220" max="4220" width="14.85546875" style="216" customWidth="1"/>
    <col min="4221" max="4221" width="12.7109375" style="216" customWidth="1"/>
    <col min="4222" max="4236" width="0" style="216" hidden="1" customWidth="1"/>
    <col min="4237" max="4237" width="9.140625" style="216" customWidth="1"/>
    <col min="4238" max="4238" width="12" style="216" customWidth="1"/>
    <col min="4239" max="4239" width="66.28515625" style="216" customWidth="1"/>
    <col min="4240" max="4246" width="0" style="216" hidden="1" customWidth="1"/>
    <col min="4247" max="4247" width="15.140625" style="216" customWidth="1"/>
    <col min="4248" max="4248" width="0" style="216" hidden="1" customWidth="1"/>
    <col min="4249" max="4249" width="16.5703125" style="216" customWidth="1"/>
    <col min="4250" max="4253" width="0" style="216" hidden="1" customWidth="1"/>
    <col min="4254" max="4353" width="9.140625" style="216"/>
    <col min="4354" max="4354" width="0" style="216" hidden="1" customWidth="1"/>
    <col min="4355" max="4355" width="56" style="216" customWidth="1"/>
    <col min="4356" max="4356" width="19" style="216" customWidth="1"/>
    <col min="4357" max="4357" width="6.5703125" style="216" customWidth="1"/>
    <col min="4358" max="4358" width="7.42578125" style="216" customWidth="1"/>
    <col min="4359" max="4382" width="6.5703125" style="216" customWidth="1"/>
    <col min="4383" max="4383" width="6.7109375" style="216" customWidth="1"/>
    <col min="4384" max="4386" width="6.85546875" style="216" customWidth="1"/>
    <col min="4387" max="4387" width="7.28515625" style="216" customWidth="1"/>
    <col min="4388" max="4388" width="7.140625" style="216" customWidth="1"/>
    <col min="4389" max="4389" width="7.42578125" style="216" customWidth="1"/>
    <col min="4390" max="4399" width="6.5703125" style="216" customWidth="1"/>
    <col min="4400" max="4438" width="9.140625" style="216" customWidth="1"/>
    <col min="4439" max="4439" width="68.28515625" style="216" customWidth="1"/>
    <col min="4440" max="4448" width="0" style="216" hidden="1" customWidth="1"/>
    <col min="4449" max="4451" width="14.85546875" style="216" customWidth="1"/>
    <col min="4452" max="4454" width="0" style="216" hidden="1" customWidth="1"/>
    <col min="4455" max="4455" width="12.7109375" style="216" customWidth="1"/>
    <col min="4456" max="4456" width="14.85546875" style="216" customWidth="1"/>
    <col min="4457" max="4457" width="12.7109375" style="216" customWidth="1"/>
    <col min="4458" max="4458" width="12.42578125" style="216" customWidth="1"/>
    <col min="4459" max="4459" width="13.140625" style="216" customWidth="1"/>
    <col min="4460" max="4461" width="12.42578125" style="216" customWidth="1"/>
    <col min="4462" max="4465" width="12.7109375" style="216" customWidth="1"/>
    <col min="4466" max="4466" width="14.85546875" style="216" customWidth="1"/>
    <col min="4467" max="4467" width="12.7109375" style="216" customWidth="1"/>
    <col min="4468" max="4468" width="14.85546875" style="216" customWidth="1"/>
    <col min="4469" max="4472" width="12.7109375" style="216" customWidth="1"/>
    <col min="4473" max="4473" width="14.85546875" style="216" customWidth="1"/>
    <col min="4474" max="4475" width="12.7109375" style="216" customWidth="1"/>
    <col min="4476" max="4476" width="14.85546875" style="216" customWidth="1"/>
    <col min="4477" max="4477" width="12.7109375" style="216" customWidth="1"/>
    <col min="4478" max="4492" width="0" style="216" hidden="1" customWidth="1"/>
    <col min="4493" max="4493" width="9.140625" style="216" customWidth="1"/>
    <col min="4494" max="4494" width="12" style="216" customWidth="1"/>
    <col min="4495" max="4495" width="66.28515625" style="216" customWidth="1"/>
    <col min="4496" max="4502" width="0" style="216" hidden="1" customWidth="1"/>
    <col min="4503" max="4503" width="15.140625" style="216" customWidth="1"/>
    <col min="4504" max="4504" width="0" style="216" hidden="1" customWidth="1"/>
    <col min="4505" max="4505" width="16.5703125" style="216" customWidth="1"/>
    <col min="4506" max="4509" width="0" style="216" hidden="1" customWidth="1"/>
    <col min="4510" max="4609" width="9.140625" style="216"/>
    <col min="4610" max="4610" width="0" style="216" hidden="1" customWidth="1"/>
    <col min="4611" max="4611" width="56" style="216" customWidth="1"/>
    <col min="4612" max="4612" width="19" style="216" customWidth="1"/>
    <col min="4613" max="4613" width="6.5703125" style="216" customWidth="1"/>
    <col min="4614" max="4614" width="7.42578125" style="216" customWidth="1"/>
    <col min="4615" max="4638" width="6.5703125" style="216" customWidth="1"/>
    <col min="4639" max="4639" width="6.7109375" style="216" customWidth="1"/>
    <col min="4640" max="4642" width="6.85546875" style="216" customWidth="1"/>
    <col min="4643" max="4643" width="7.28515625" style="216" customWidth="1"/>
    <col min="4644" max="4644" width="7.140625" style="216" customWidth="1"/>
    <col min="4645" max="4645" width="7.42578125" style="216" customWidth="1"/>
    <col min="4646" max="4655" width="6.5703125" style="216" customWidth="1"/>
    <col min="4656" max="4694" width="9.140625" style="216" customWidth="1"/>
    <col min="4695" max="4695" width="68.28515625" style="216" customWidth="1"/>
    <col min="4696" max="4704" width="0" style="216" hidden="1" customWidth="1"/>
    <col min="4705" max="4707" width="14.85546875" style="216" customWidth="1"/>
    <col min="4708" max="4710" width="0" style="216" hidden="1" customWidth="1"/>
    <col min="4711" max="4711" width="12.7109375" style="216" customWidth="1"/>
    <col min="4712" max="4712" width="14.85546875" style="216" customWidth="1"/>
    <col min="4713" max="4713" width="12.7109375" style="216" customWidth="1"/>
    <col min="4714" max="4714" width="12.42578125" style="216" customWidth="1"/>
    <col min="4715" max="4715" width="13.140625" style="216" customWidth="1"/>
    <col min="4716" max="4717" width="12.42578125" style="216" customWidth="1"/>
    <col min="4718" max="4721" width="12.7109375" style="216" customWidth="1"/>
    <col min="4722" max="4722" width="14.85546875" style="216" customWidth="1"/>
    <col min="4723" max="4723" width="12.7109375" style="216" customWidth="1"/>
    <col min="4724" max="4724" width="14.85546875" style="216" customWidth="1"/>
    <col min="4725" max="4728" width="12.7109375" style="216" customWidth="1"/>
    <col min="4729" max="4729" width="14.85546875" style="216" customWidth="1"/>
    <col min="4730" max="4731" width="12.7109375" style="216" customWidth="1"/>
    <col min="4732" max="4732" width="14.85546875" style="216" customWidth="1"/>
    <col min="4733" max="4733" width="12.7109375" style="216" customWidth="1"/>
    <col min="4734" max="4748" width="0" style="216" hidden="1" customWidth="1"/>
    <col min="4749" max="4749" width="9.140625" style="216" customWidth="1"/>
    <col min="4750" max="4750" width="12" style="216" customWidth="1"/>
    <col min="4751" max="4751" width="66.28515625" style="216" customWidth="1"/>
    <col min="4752" max="4758" width="0" style="216" hidden="1" customWidth="1"/>
    <col min="4759" max="4759" width="15.140625" style="216" customWidth="1"/>
    <col min="4760" max="4760" width="0" style="216" hidden="1" customWidth="1"/>
    <col min="4761" max="4761" width="16.5703125" style="216" customWidth="1"/>
    <col min="4762" max="4765" width="0" style="216" hidden="1" customWidth="1"/>
    <col min="4766" max="4865" width="9.140625" style="216"/>
    <col min="4866" max="4866" width="0" style="216" hidden="1" customWidth="1"/>
    <col min="4867" max="4867" width="56" style="216" customWidth="1"/>
    <col min="4868" max="4868" width="19" style="216" customWidth="1"/>
    <col min="4869" max="4869" width="6.5703125" style="216" customWidth="1"/>
    <col min="4870" max="4870" width="7.42578125" style="216" customWidth="1"/>
    <col min="4871" max="4894" width="6.5703125" style="216" customWidth="1"/>
    <col min="4895" max="4895" width="6.7109375" style="216" customWidth="1"/>
    <col min="4896" max="4898" width="6.85546875" style="216" customWidth="1"/>
    <col min="4899" max="4899" width="7.28515625" style="216" customWidth="1"/>
    <col min="4900" max="4900" width="7.140625" style="216" customWidth="1"/>
    <col min="4901" max="4901" width="7.42578125" style="216" customWidth="1"/>
    <col min="4902" max="4911" width="6.5703125" style="216" customWidth="1"/>
    <col min="4912" max="4950" width="9.140625" style="216" customWidth="1"/>
    <col min="4951" max="4951" width="68.28515625" style="216" customWidth="1"/>
    <col min="4952" max="4960" width="0" style="216" hidden="1" customWidth="1"/>
    <col min="4961" max="4963" width="14.85546875" style="216" customWidth="1"/>
    <col min="4964" max="4966" width="0" style="216" hidden="1" customWidth="1"/>
    <col min="4967" max="4967" width="12.7109375" style="216" customWidth="1"/>
    <col min="4968" max="4968" width="14.85546875" style="216" customWidth="1"/>
    <col min="4969" max="4969" width="12.7109375" style="216" customWidth="1"/>
    <col min="4970" max="4970" width="12.42578125" style="216" customWidth="1"/>
    <col min="4971" max="4971" width="13.140625" style="216" customWidth="1"/>
    <col min="4972" max="4973" width="12.42578125" style="216" customWidth="1"/>
    <col min="4974" max="4977" width="12.7109375" style="216" customWidth="1"/>
    <col min="4978" max="4978" width="14.85546875" style="216" customWidth="1"/>
    <col min="4979" max="4979" width="12.7109375" style="216" customWidth="1"/>
    <col min="4980" max="4980" width="14.85546875" style="216" customWidth="1"/>
    <col min="4981" max="4984" width="12.7109375" style="216" customWidth="1"/>
    <col min="4985" max="4985" width="14.85546875" style="216" customWidth="1"/>
    <col min="4986" max="4987" width="12.7109375" style="216" customWidth="1"/>
    <col min="4988" max="4988" width="14.85546875" style="216" customWidth="1"/>
    <col min="4989" max="4989" width="12.7109375" style="216" customWidth="1"/>
    <col min="4990" max="5004" width="0" style="216" hidden="1" customWidth="1"/>
    <col min="5005" max="5005" width="9.140625" style="216" customWidth="1"/>
    <col min="5006" max="5006" width="12" style="216" customWidth="1"/>
    <col min="5007" max="5007" width="66.28515625" style="216" customWidth="1"/>
    <col min="5008" max="5014" width="0" style="216" hidden="1" customWidth="1"/>
    <col min="5015" max="5015" width="15.140625" style="216" customWidth="1"/>
    <col min="5016" max="5016" width="0" style="216" hidden="1" customWidth="1"/>
    <col min="5017" max="5017" width="16.5703125" style="216" customWidth="1"/>
    <col min="5018" max="5021" width="0" style="216" hidden="1" customWidth="1"/>
    <col min="5022" max="5121" width="9.140625" style="216"/>
    <col min="5122" max="5122" width="0" style="216" hidden="1" customWidth="1"/>
    <col min="5123" max="5123" width="56" style="216" customWidth="1"/>
    <col min="5124" max="5124" width="19" style="216" customWidth="1"/>
    <col min="5125" max="5125" width="6.5703125" style="216" customWidth="1"/>
    <col min="5126" max="5126" width="7.42578125" style="216" customWidth="1"/>
    <col min="5127" max="5150" width="6.5703125" style="216" customWidth="1"/>
    <col min="5151" max="5151" width="6.7109375" style="216" customWidth="1"/>
    <col min="5152" max="5154" width="6.85546875" style="216" customWidth="1"/>
    <col min="5155" max="5155" width="7.28515625" style="216" customWidth="1"/>
    <col min="5156" max="5156" width="7.140625" style="216" customWidth="1"/>
    <col min="5157" max="5157" width="7.42578125" style="216" customWidth="1"/>
    <col min="5158" max="5167" width="6.5703125" style="216" customWidth="1"/>
    <col min="5168" max="5206" width="9.140625" style="216" customWidth="1"/>
    <col min="5207" max="5207" width="68.28515625" style="216" customWidth="1"/>
    <col min="5208" max="5216" width="0" style="216" hidden="1" customWidth="1"/>
    <col min="5217" max="5219" width="14.85546875" style="216" customWidth="1"/>
    <col min="5220" max="5222" width="0" style="216" hidden="1" customWidth="1"/>
    <col min="5223" max="5223" width="12.7109375" style="216" customWidth="1"/>
    <col min="5224" max="5224" width="14.85546875" style="216" customWidth="1"/>
    <col min="5225" max="5225" width="12.7109375" style="216" customWidth="1"/>
    <col min="5226" max="5226" width="12.42578125" style="216" customWidth="1"/>
    <col min="5227" max="5227" width="13.140625" style="216" customWidth="1"/>
    <col min="5228" max="5229" width="12.42578125" style="216" customWidth="1"/>
    <col min="5230" max="5233" width="12.7109375" style="216" customWidth="1"/>
    <col min="5234" max="5234" width="14.85546875" style="216" customWidth="1"/>
    <col min="5235" max="5235" width="12.7109375" style="216" customWidth="1"/>
    <col min="5236" max="5236" width="14.85546875" style="216" customWidth="1"/>
    <col min="5237" max="5240" width="12.7109375" style="216" customWidth="1"/>
    <col min="5241" max="5241" width="14.85546875" style="216" customWidth="1"/>
    <col min="5242" max="5243" width="12.7109375" style="216" customWidth="1"/>
    <col min="5244" max="5244" width="14.85546875" style="216" customWidth="1"/>
    <col min="5245" max="5245" width="12.7109375" style="216" customWidth="1"/>
    <col min="5246" max="5260" width="0" style="216" hidden="1" customWidth="1"/>
    <col min="5261" max="5261" width="9.140625" style="216" customWidth="1"/>
    <col min="5262" max="5262" width="12" style="216" customWidth="1"/>
    <col min="5263" max="5263" width="66.28515625" style="216" customWidth="1"/>
    <col min="5264" max="5270" width="0" style="216" hidden="1" customWidth="1"/>
    <col min="5271" max="5271" width="15.140625" style="216" customWidth="1"/>
    <col min="5272" max="5272" width="0" style="216" hidden="1" customWidth="1"/>
    <col min="5273" max="5273" width="16.5703125" style="216" customWidth="1"/>
    <col min="5274" max="5277" width="0" style="216" hidden="1" customWidth="1"/>
    <col min="5278" max="5377" width="9.140625" style="216"/>
    <col min="5378" max="5378" width="0" style="216" hidden="1" customWidth="1"/>
    <col min="5379" max="5379" width="56" style="216" customWidth="1"/>
    <col min="5380" max="5380" width="19" style="216" customWidth="1"/>
    <col min="5381" max="5381" width="6.5703125" style="216" customWidth="1"/>
    <col min="5382" max="5382" width="7.42578125" style="216" customWidth="1"/>
    <col min="5383" max="5406" width="6.5703125" style="216" customWidth="1"/>
    <col min="5407" max="5407" width="6.7109375" style="216" customWidth="1"/>
    <col min="5408" max="5410" width="6.85546875" style="216" customWidth="1"/>
    <col min="5411" max="5411" width="7.28515625" style="216" customWidth="1"/>
    <col min="5412" max="5412" width="7.140625" style="216" customWidth="1"/>
    <col min="5413" max="5413" width="7.42578125" style="216" customWidth="1"/>
    <col min="5414" max="5423" width="6.5703125" style="216" customWidth="1"/>
    <col min="5424" max="5462" width="9.140625" style="216" customWidth="1"/>
    <col min="5463" max="5463" width="68.28515625" style="216" customWidth="1"/>
    <col min="5464" max="5472" width="0" style="216" hidden="1" customWidth="1"/>
    <col min="5473" max="5475" width="14.85546875" style="216" customWidth="1"/>
    <col min="5476" max="5478" width="0" style="216" hidden="1" customWidth="1"/>
    <col min="5479" max="5479" width="12.7109375" style="216" customWidth="1"/>
    <col min="5480" max="5480" width="14.85546875" style="216" customWidth="1"/>
    <col min="5481" max="5481" width="12.7109375" style="216" customWidth="1"/>
    <col min="5482" max="5482" width="12.42578125" style="216" customWidth="1"/>
    <col min="5483" max="5483" width="13.140625" style="216" customWidth="1"/>
    <col min="5484" max="5485" width="12.42578125" style="216" customWidth="1"/>
    <col min="5486" max="5489" width="12.7109375" style="216" customWidth="1"/>
    <col min="5490" max="5490" width="14.85546875" style="216" customWidth="1"/>
    <col min="5491" max="5491" width="12.7109375" style="216" customWidth="1"/>
    <col min="5492" max="5492" width="14.85546875" style="216" customWidth="1"/>
    <col min="5493" max="5496" width="12.7109375" style="216" customWidth="1"/>
    <col min="5497" max="5497" width="14.85546875" style="216" customWidth="1"/>
    <col min="5498" max="5499" width="12.7109375" style="216" customWidth="1"/>
    <col min="5500" max="5500" width="14.85546875" style="216" customWidth="1"/>
    <col min="5501" max="5501" width="12.7109375" style="216" customWidth="1"/>
    <col min="5502" max="5516" width="0" style="216" hidden="1" customWidth="1"/>
    <col min="5517" max="5517" width="9.140625" style="216" customWidth="1"/>
    <col min="5518" max="5518" width="12" style="216" customWidth="1"/>
    <col min="5519" max="5519" width="66.28515625" style="216" customWidth="1"/>
    <col min="5520" max="5526" width="0" style="216" hidden="1" customWidth="1"/>
    <col min="5527" max="5527" width="15.140625" style="216" customWidth="1"/>
    <col min="5528" max="5528" width="0" style="216" hidden="1" customWidth="1"/>
    <col min="5529" max="5529" width="16.5703125" style="216" customWidth="1"/>
    <col min="5530" max="5533" width="0" style="216" hidden="1" customWidth="1"/>
    <col min="5534" max="5633" width="9.140625" style="216"/>
    <col min="5634" max="5634" width="0" style="216" hidden="1" customWidth="1"/>
    <col min="5635" max="5635" width="56" style="216" customWidth="1"/>
    <col min="5636" max="5636" width="19" style="216" customWidth="1"/>
    <col min="5637" max="5637" width="6.5703125" style="216" customWidth="1"/>
    <col min="5638" max="5638" width="7.42578125" style="216" customWidth="1"/>
    <col min="5639" max="5662" width="6.5703125" style="216" customWidth="1"/>
    <col min="5663" max="5663" width="6.7109375" style="216" customWidth="1"/>
    <col min="5664" max="5666" width="6.85546875" style="216" customWidth="1"/>
    <col min="5667" max="5667" width="7.28515625" style="216" customWidth="1"/>
    <col min="5668" max="5668" width="7.140625" style="216" customWidth="1"/>
    <col min="5669" max="5669" width="7.42578125" style="216" customWidth="1"/>
    <col min="5670" max="5679" width="6.5703125" style="216" customWidth="1"/>
    <col min="5680" max="5718" width="9.140625" style="216" customWidth="1"/>
    <col min="5719" max="5719" width="68.28515625" style="216" customWidth="1"/>
    <col min="5720" max="5728" width="0" style="216" hidden="1" customWidth="1"/>
    <col min="5729" max="5731" width="14.85546875" style="216" customWidth="1"/>
    <col min="5732" max="5734" width="0" style="216" hidden="1" customWidth="1"/>
    <col min="5735" max="5735" width="12.7109375" style="216" customWidth="1"/>
    <col min="5736" max="5736" width="14.85546875" style="216" customWidth="1"/>
    <col min="5737" max="5737" width="12.7109375" style="216" customWidth="1"/>
    <col min="5738" max="5738" width="12.42578125" style="216" customWidth="1"/>
    <col min="5739" max="5739" width="13.140625" style="216" customWidth="1"/>
    <col min="5740" max="5741" width="12.42578125" style="216" customWidth="1"/>
    <col min="5742" max="5745" width="12.7109375" style="216" customWidth="1"/>
    <col min="5746" max="5746" width="14.85546875" style="216" customWidth="1"/>
    <col min="5747" max="5747" width="12.7109375" style="216" customWidth="1"/>
    <col min="5748" max="5748" width="14.85546875" style="216" customWidth="1"/>
    <col min="5749" max="5752" width="12.7109375" style="216" customWidth="1"/>
    <col min="5753" max="5753" width="14.85546875" style="216" customWidth="1"/>
    <col min="5754" max="5755" width="12.7109375" style="216" customWidth="1"/>
    <col min="5756" max="5756" width="14.85546875" style="216" customWidth="1"/>
    <col min="5757" max="5757" width="12.7109375" style="216" customWidth="1"/>
    <col min="5758" max="5772" width="0" style="216" hidden="1" customWidth="1"/>
    <col min="5773" max="5773" width="9.140625" style="216" customWidth="1"/>
    <col min="5774" max="5774" width="12" style="216" customWidth="1"/>
    <col min="5775" max="5775" width="66.28515625" style="216" customWidth="1"/>
    <col min="5776" max="5782" width="0" style="216" hidden="1" customWidth="1"/>
    <col min="5783" max="5783" width="15.140625" style="216" customWidth="1"/>
    <col min="5784" max="5784" width="0" style="216" hidden="1" customWidth="1"/>
    <col min="5785" max="5785" width="16.5703125" style="216" customWidth="1"/>
    <col min="5786" max="5789" width="0" style="216" hidden="1" customWidth="1"/>
    <col min="5790" max="5889" width="9.140625" style="216"/>
    <col min="5890" max="5890" width="0" style="216" hidden="1" customWidth="1"/>
    <col min="5891" max="5891" width="56" style="216" customWidth="1"/>
    <col min="5892" max="5892" width="19" style="216" customWidth="1"/>
    <col min="5893" max="5893" width="6.5703125" style="216" customWidth="1"/>
    <col min="5894" max="5894" width="7.42578125" style="216" customWidth="1"/>
    <col min="5895" max="5918" width="6.5703125" style="216" customWidth="1"/>
    <col min="5919" max="5919" width="6.7109375" style="216" customWidth="1"/>
    <col min="5920" max="5922" width="6.85546875" style="216" customWidth="1"/>
    <col min="5923" max="5923" width="7.28515625" style="216" customWidth="1"/>
    <col min="5924" max="5924" width="7.140625" style="216" customWidth="1"/>
    <col min="5925" max="5925" width="7.42578125" style="216" customWidth="1"/>
    <col min="5926" max="5935" width="6.5703125" style="216" customWidth="1"/>
    <col min="5936" max="5974" width="9.140625" style="216" customWidth="1"/>
    <col min="5975" max="5975" width="68.28515625" style="216" customWidth="1"/>
    <col min="5976" max="5984" width="0" style="216" hidden="1" customWidth="1"/>
    <col min="5985" max="5987" width="14.85546875" style="216" customWidth="1"/>
    <col min="5988" max="5990" width="0" style="216" hidden="1" customWidth="1"/>
    <col min="5991" max="5991" width="12.7109375" style="216" customWidth="1"/>
    <col min="5992" max="5992" width="14.85546875" style="216" customWidth="1"/>
    <col min="5993" max="5993" width="12.7109375" style="216" customWidth="1"/>
    <col min="5994" max="5994" width="12.42578125" style="216" customWidth="1"/>
    <col min="5995" max="5995" width="13.140625" style="216" customWidth="1"/>
    <col min="5996" max="5997" width="12.42578125" style="216" customWidth="1"/>
    <col min="5998" max="6001" width="12.7109375" style="216" customWidth="1"/>
    <col min="6002" max="6002" width="14.85546875" style="216" customWidth="1"/>
    <col min="6003" max="6003" width="12.7109375" style="216" customWidth="1"/>
    <col min="6004" max="6004" width="14.85546875" style="216" customWidth="1"/>
    <col min="6005" max="6008" width="12.7109375" style="216" customWidth="1"/>
    <col min="6009" max="6009" width="14.85546875" style="216" customWidth="1"/>
    <col min="6010" max="6011" width="12.7109375" style="216" customWidth="1"/>
    <col min="6012" max="6012" width="14.85546875" style="216" customWidth="1"/>
    <col min="6013" max="6013" width="12.7109375" style="216" customWidth="1"/>
    <col min="6014" max="6028" width="0" style="216" hidden="1" customWidth="1"/>
    <col min="6029" max="6029" width="9.140625" style="216" customWidth="1"/>
    <col min="6030" max="6030" width="12" style="216" customWidth="1"/>
    <col min="6031" max="6031" width="66.28515625" style="216" customWidth="1"/>
    <col min="6032" max="6038" width="0" style="216" hidden="1" customWidth="1"/>
    <col min="6039" max="6039" width="15.140625" style="216" customWidth="1"/>
    <col min="6040" max="6040" width="0" style="216" hidden="1" customWidth="1"/>
    <col min="6041" max="6041" width="16.5703125" style="216" customWidth="1"/>
    <col min="6042" max="6045" width="0" style="216" hidden="1" customWidth="1"/>
    <col min="6046" max="6145" width="9.140625" style="216"/>
    <col min="6146" max="6146" width="0" style="216" hidden="1" customWidth="1"/>
    <col min="6147" max="6147" width="56" style="216" customWidth="1"/>
    <col min="6148" max="6148" width="19" style="216" customWidth="1"/>
    <col min="6149" max="6149" width="6.5703125" style="216" customWidth="1"/>
    <col min="6150" max="6150" width="7.42578125" style="216" customWidth="1"/>
    <col min="6151" max="6174" width="6.5703125" style="216" customWidth="1"/>
    <col min="6175" max="6175" width="6.7109375" style="216" customWidth="1"/>
    <col min="6176" max="6178" width="6.85546875" style="216" customWidth="1"/>
    <col min="6179" max="6179" width="7.28515625" style="216" customWidth="1"/>
    <col min="6180" max="6180" width="7.140625" style="216" customWidth="1"/>
    <col min="6181" max="6181" width="7.42578125" style="216" customWidth="1"/>
    <col min="6182" max="6191" width="6.5703125" style="216" customWidth="1"/>
    <col min="6192" max="6230" width="9.140625" style="216" customWidth="1"/>
    <col min="6231" max="6231" width="68.28515625" style="216" customWidth="1"/>
    <col min="6232" max="6240" width="0" style="216" hidden="1" customWidth="1"/>
    <col min="6241" max="6243" width="14.85546875" style="216" customWidth="1"/>
    <col min="6244" max="6246" width="0" style="216" hidden="1" customWidth="1"/>
    <col min="6247" max="6247" width="12.7109375" style="216" customWidth="1"/>
    <col min="6248" max="6248" width="14.85546875" style="216" customWidth="1"/>
    <col min="6249" max="6249" width="12.7109375" style="216" customWidth="1"/>
    <col min="6250" max="6250" width="12.42578125" style="216" customWidth="1"/>
    <col min="6251" max="6251" width="13.140625" style="216" customWidth="1"/>
    <col min="6252" max="6253" width="12.42578125" style="216" customWidth="1"/>
    <col min="6254" max="6257" width="12.7109375" style="216" customWidth="1"/>
    <col min="6258" max="6258" width="14.85546875" style="216" customWidth="1"/>
    <col min="6259" max="6259" width="12.7109375" style="216" customWidth="1"/>
    <col min="6260" max="6260" width="14.85546875" style="216" customWidth="1"/>
    <col min="6261" max="6264" width="12.7109375" style="216" customWidth="1"/>
    <col min="6265" max="6265" width="14.85546875" style="216" customWidth="1"/>
    <col min="6266" max="6267" width="12.7109375" style="216" customWidth="1"/>
    <col min="6268" max="6268" width="14.85546875" style="216" customWidth="1"/>
    <col min="6269" max="6269" width="12.7109375" style="216" customWidth="1"/>
    <col min="6270" max="6284" width="0" style="216" hidden="1" customWidth="1"/>
    <col min="6285" max="6285" width="9.140625" style="216" customWidth="1"/>
    <col min="6286" max="6286" width="12" style="216" customWidth="1"/>
    <col min="6287" max="6287" width="66.28515625" style="216" customWidth="1"/>
    <col min="6288" max="6294" width="0" style="216" hidden="1" customWidth="1"/>
    <col min="6295" max="6295" width="15.140625" style="216" customWidth="1"/>
    <col min="6296" max="6296" width="0" style="216" hidden="1" customWidth="1"/>
    <col min="6297" max="6297" width="16.5703125" style="216" customWidth="1"/>
    <col min="6298" max="6301" width="0" style="216" hidden="1" customWidth="1"/>
    <col min="6302" max="6401" width="9.140625" style="216"/>
    <col min="6402" max="6402" width="0" style="216" hidden="1" customWidth="1"/>
    <col min="6403" max="6403" width="56" style="216" customWidth="1"/>
    <col min="6404" max="6404" width="19" style="216" customWidth="1"/>
    <col min="6405" max="6405" width="6.5703125" style="216" customWidth="1"/>
    <col min="6406" max="6406" width="7.42578125" style="216" customWidth="1"/>
    <col min="6407" max="6430" width="6.5703125" style="216" customWidth="1"/>
    <col min="6431" max="6431" width="6.7109375" style="216" customWidth="1"/>
    <col min="6432" max="6434" width="6.85546875" style="216" customWidth="1"/>
    <col min="6435" max="6435" width="7.28515625" style="216" customWidth="1"/>
    <col min="6436" max="6436" width="7.140625" style="216" customWidth="1"/>
    <col min="6437" max="6437" width="7.42578125" style="216" customWidth="1"/>
    <col min="6438" max="6447" width="6.5703125" style="216" customWidth="1"/>
    <col min="6448" max="6486" width="9.140625" style="216" customWidth="1"/>
    <col min="6487" max="6487" width="68.28515625" style="216" customWidth="1"/>
    <col min="6488" max="6496" width="0" style="216" hidden="1" customWidth="1"/>
    <col min="6497" max="6499" width="14.85546875" style="216" customWidth="1"/>
    <col min="6500" max="6502" width="0" style="216" hidden="1" customWidth="1"/>
    <col min="6503" max="6503" width="12.7109375" style="216" customWidth="1"/>
    <col min="6504" max="6504" width="14.85546875" style="216" customWidth="1"/>
    <col min="6505" max="6505" width="12.7109375" style="216" customWidth="1"/>
    <col min="6506" max="6506" width="12.42578125" style="216" customWidth="1"/>
    <col min="6507" max="6507" width="13.140625" style="216" customWidth="1"/>
    <col min="6508" max="6509" width="12.42578125" style="216" customWidth="1"/>
    <col min="6510" max="6513" width="12.7109375" style="216" customWidth="1"/>
    <col min="6514" max="6514" width="14.85546875" style="216" customWidth="1"/>
    <col min="6515" max="6515" width="12.7109375" style="216" customWidth="1"/>
    <col min="6516" max="6516" width="14.85546875" style="216" customWidth="1"/>
    <col min="6517" max="6520" width="12.7109375" style="216" customWidth="1"/>
    <col min="6521" max="6521" width="14.85546875" style="216" customWidth="1"/>
    <col min="6522" max="6523" width="12.7109375" style="216" customWidth="1"/>
    <col min="6524" max="6524" width="14.85546875" style="216" customWidth="1"/>
    <col min="6525" max="6525" width="12.7109375" style="216" customWidth="1"/>
    <col min="6526" max="6540" width="0" style="216" hidden="1" customWidth="1"/>
    <col min="6541" max="6541" width="9.140625" style="216" customWidth="1"/>
    <col min="6542" max="6542" width="12" style="216" customWidth="1"/>
    <col min="6543" max="6543" width="66.28515625" style="216" customWidth="1"/>
    <col min="6544" max="6550" width="0" style="216" hidden="1" customWidth="1"/>
    <col min="6551" max="6551" width="15.140625" style="216" customWidth="1"/>
    <col min="6552" max="6552" width="0" style="216" hidden="1" customWidth="1"/>
    <col min="6553" max="6553" width="16.5703125" style="216" customWidth="1"/>
    <col min="6554" max="6557" width="0" style="216" hidden="1" customWidth="1"/>
    <col min="6558" max="6657" width="9.140625" style="216"/>
    <col min="6658" max="6658" width="0" style="216" hidden="1" customWidth="1"/>
    <col min="6659" max="6659" width="56" style="216" customWidth="1"/>
    <col min="6660" max="6660" width="19" style="216" customWidth="1"/>
    <col min="6661" max="6661" width="6.5703125" style="216" customWidth="1"/>
    <col min="6662" max="6662" width="7.42578125" style="216" customWidth="1"/>
    <col min="6663" max="6686" width="6.5703125" style="216" customWidth="1"/>
    <col min="6687" max="6687" width="6.7109375" style="216" customWidth="1"/>
    <col min="6688" max="6690" width="6.85546875" style="216" customWidth="1"/>
    <col min="6691" max="6691" width="7.28515625" style="216" customWidth="1"/>
    <col min="6692" max="6692" width="7.140625" style="216" customWidth="1"/>
    <col min="6693" max="6693" width="7.42578125" style="216" customWidth="1"/>
    <col min="6694" max="6703" width="6.5703125" style="216" customWidth="1"/>
    <col min="6704" max="6742" width="9.140625" style="216" customWidth="1"/>
    <col min="6743" max="6743" width="68.28515625" style="216" customWidth="1"/>
    <col min="6744" max="6752" width="0" style="216" hidden="1" customWidth="1"/>
    <col min="6753" max="6755" width="14.85546875" style="216" customWidth="1"/>
    <col min="6756" max="6758" width="0" style="216" hidden="1" customWidth="1"/>
    <col min="6759" max="6759" width="12.7109375" style="216" customWidth="1"/>
    <col min="6760" max="6760" width="14.85546875" style="216" customWidth="1"/>
    <col min="6761" max="6761" width="12.7109375" style="216" customWidth="1"/>
    <col min="6762" max="6762" width="12.42578125" style="216" customWidth="1"/>
    <col min="6763" max="6763" width="13.140625" style="216" customWidth="1"/>
    <col min="6764" max="6765" width="12.42578125" style="216" customWidth="1"/>
    <col min="6766" max="6769" width="12.7109375" style="216" customWidth="1"/>
    <col min="6770" max="6770" width="14.85546875" style="216" customWidth="1"/>
    <col min="6771" max="6771" width="12.7109375" style="216" customWidth="1"/>
    <col min="6772" max="6772" width="14.85546875" style="216" customWidth="1"/>
    <col min="6773" max="6776" width="12.7109375" style="216" customWidth="1"/>
    <col min="6777" max="6777" width="14.85546875" style="216" customWidth="1"/>
    <col min="6778" max="6779" width="12.7109375" style="216" customWidth="1"/>
    <col min="6780" max="6780" width="14.85546875" style="216" customWidth="1"/>
    <col min="6781" max="6781" width="12.7109375" style="216" customWidth="1"/>
    <col min="6782" max="6796" width="0" style="216" hidden="1" customWidth="1"/>
    <col min="6797" max="6797" width="9.140625" style="216" customWidth="1"/>
    <col min="6798" max="6798" width="12" style="216" customWidth="1"/>
    <col min="6799" max="6799" width="66.28515625" style="216" customWidth="1"/>
    <col min="6800" max="6806" width="0" style="216" hidden="1" customWidth="1"/>
    <col min="6807" max="6807" width="15.140625" style="216" customWidth="1"/>
    <col min="6808" max="6808" width="0" style="216" hidden="1" customWidth="1"/>
    <col min="6809" max="6809" width="16.5703125" style="216" customWidth="1"/>
    <col min="6810" max="6813" width="0" style="216" hidden="1" customWidth="1"/>
    <col min="6814" max="6913" width="9.140625" style="216"/>
    <col min="6914" max="6914" width="0" style="216" hidden="1" customWidth="1"/>
    <col min="6915" max="6915" width="56" style="216" customWidth="1"/>
    <col min="6916" max="6916" width="19" style="216" customWidth="1"/>
    <col min="6917" max="6917" width="6.5703125" style="216" customWidth="1"/>
    <col min="6918" max="6918" width="7.42578125" style="216" customWidth="1"/>
    <col min="6919" max="6942" width="6.5703125" style="216" customWidth="1"/>
    <col min="6943" max="6943" width="6.7109375" style="216" customWidth="1"/>
    <col min="6944" max="6946" width="6.85546875" style="216" customWidth="1"/>
    <col min="6947" max="6947" width="7.28515625" style="216" customWidth="1"/>
    <col min="6948" max="6948" width="7.140625" style="216" customWidth="1"/>
    <col min="6949" max="6949" width="7.42578125" style="216" customWidth="1"/>
    <col min="6950" max="6959" width="6.5703125" style="216" customWidth="1"/>
    <col min="6960" max="6998" width="9.140625" style="216" customWidth="1"/>
    <col min="6999" max="6999" width="68.28515625" style="216" customWidth="1"/>
    <col min="7000" max="7008" width="0" style="216" hidden="1" customWidth="1"/>
    <col min="7009" max="7011" width="14.85546875" style="216" customWidth="1"/>
    <col min="7012" max="7014" width="0" style="216" hidden="1" customWidth="1"/>
    <col min="7015" max="7015" width="12.7109375" style="216" customWidth="1"/>
    <col min="7016" max="7016" width="14.85546875" style="216" customWidth="1"/>
    <col min="7017" max="7017" width="12.7109375" style="216" customWidth="1"/>
    <col min="7018" max="7018" width="12.42578125" style="216" customWidth="1"/>
    <col min="7019" max="7019" width="13.140625" style="216" customWidth="1"/>
    <col min="7020" max="7021" width="12.42578125" style="216" customWidth="1"/>
    <col min="7022" max="7025" width="12.7109375" style="216" customWidth="1"/>
    <col min="7026" max="7026" width="14.85546875" style="216" customWidth="1"/>
    <col min="7027" max="7027" width="12.7109375" style="216" customWidth="1"/>
    <col min="7028" max="7028" width="14.85546875" style="216" customWidth="1"/>
    <col min="7029" max="7032" width="12.7109375" style="216" customWidth="1"/>
    <col min="7033" max="7033" width="14.85546875" style="216" customWidth="1"/>
    <col min="7034" max="7035" width="12.7109375" style="216" customWidth="1"/>
    <col min="7036" max="7036" width="14.85546875" style="216" customWidth="1"/>
    <col min="7037" max="7037" width="12.7109375" style="216" customWidth="1"/>
    <col min="7038" max="7052" width="0" style="216" hidden="1" customWidth="1"/>
    <col min="7053" max="7053" width="9.140625" style="216" customWidth="1"/>
    <col min="7054" max="7054" width="12" style="216" customWidth="1"/>
    <col min="7055" max="7055" width="66.28515625" style="216" customWidth="1"/>
    <col min="7056" max="7062" width="0" style="216" hidden="1" customWidth="1"/>
    <col min="7063" max="7063" width="15.140625" style="216" customWidth="1"/>
    <col min="7064" max="7064" width="0" style="216" hidden="1" customWidth="1"/>
    <col min="7065" max="7065" width="16.5703125" style="216" customWidth="1"/>
    <col min="7066" max="7069" width="0" style="216" hidden="1" customWidth="1"/>
    <col min="7070" max="7169" width="9.140625" style="216"/>
    <col min="7170" max="7170" width="0" style="216" hidden="1" customWidth="1"/>
    <col min="7171" max="7171" width="56" style="216" customWidth="1"/>
    <col min="7172" max="7172" width="19" style="216" customWidth="1"/>
    <col min="7173" max="7173" width="6.5703125" style="216" customWidth="1"/>
    <col min="7174" max="7174" width="7.42578125" style="216" customWidth="1"/>
    <col min="7175" max="7198" width="6.5703125" style="216" customWidth="1"/>
    <col min="7199" max="7199" width="6.7109375" style="216" customWidth="1"/>
    <col min="7200" max="7202" width="6.85546875" style="216" customWidth="1"/>
    <col min="7203" max="7203" width="7.28515625" style="216" customWidth="1"/>
    <col min="7204" max="7204" width="7.140625" style="216" customWidth="1"/>
    <col min="7205" max="7205" width="7.42578125" style="216" customWidth="1"/>
    <col min="7206" max="7215" width="6.5703125" style="216" customWidth="1"/>
    <col min="7216" max="7254" width="9.140625" style="216" customWidth="1"/>
    <col min="7255" max="7255" width="68.28515625" style="216" customWidth="1"/>
    <col min="7256" max="7264" width="0" style="216" hidden="1" customWidth="1"/>
    <col min="7265" max="7267" width="14.85546875" style="216" customWidth="1"/>
    <col min="7268" max="7270" width="0" style="216" hidden="1" customWidth="1"/>
    <col min="7271" max="7271" width="12.7109375" style="216" customWidth="1"/>
    <col min="7272" max="7272" width="14.85546875" style="216" customWidth="1"/>
    <col min="7273" max="7273" width="12.7109375" style="216" customWidth="1"/>
    <col min="7274" max="7274" width="12.42578125" style="216" customWidth="1"/>
    <col min="7275" max="7275" width="13.140625" style="216" customWidth="1"/>
    <col min="7276" max="7277" width="12.42578125" style="216" customWidth="1"/>
    <col min="7278" max="7281" width="12.7109375" style="216" customWidth="1"/>
    <col min="7282" max="7282" width="14.85546875" style="216" customWidth="1"/>
    <col min="7283" max="7283" width="12.7109375" style="216" customWidth="1"/>
    <col min="7284" max="7284" width="14.85546875" style="216" customWidth="1"/>
    <col min="7285" max="7288" width="12.7109375" style="216" customWidth="1"/>
    <col min="7289" max="7289" width="14.85546875" style="216" customWidth="1"/>
    <col min="7290" max="7291" width="12.7109375" style="216" customWidth="1"/>
    <col min="7292" max="7292" width="14.85546875" style="216" customWidth="1"/>
    <col min="7293" max="7293" width="12.7109375" style="216" customWidth="1"/>
    <col min="7294" max="7308" width="0" style="216" hidden="1" customWidth="1"/>
    <col min="7309" max="7309" width="9.140625" style="216" customWidth="1"/>
    <col min="7310" max="7310" width="12" style="216" customWidth="1"/>
    <col min="7311" max="7311" width="66.28515625" style="216" customWidth="1"/>
    <col min="7312" max="7318" width="0" style="216" hidden="1" customWidth="1"/>
    <col min="7319" max="7319" width="15.140625" style="216" customWidth="1"/>
    <col min="7320" max="7320" width="0" style="216" hidden="1" customWidth="1"/>
    <col min="7321" max="7321" width="16.5703125" style="216" customWidth="1"/>
    <col min="7322" max="7325" width="0" style="216" hidden="1" customWidth="1"/>
    <col min="7326" max="7425" width="9.140625" style="216"/>
    <col min="7426" max="7426" width="0" style="216" hidden="1" customWidth="1"/>
    <col min="7427" max="7427" width="56" style="216" customWidth="1"/>
    <col min="7428" max="7428" width="19" style="216" customWidth="1"/>
    <col min="7429" max="7429" width="6.5703125" style="216" customWidth="1"/>
    <col min="7430" max="7430" width="7.42578125" style="216" customWidth="1"/>
    <col min="7431" max="7454" width="6.5703125" style="216" customWidth="1"/>
    <col min="7455" max="7455" width="6.7109375" style="216" customWidth="1"/>
    <col min="7456" max="7458" width="6.85546875" style="216" customWidth="1"/>
    <col min="7459" max="7459" width="7.28515625" style="216" customWidth="1"/>
    <col min="7460" max="7460" width="7.140625" style="216" customWidth="1"/>
    <col min="7461" max="7461" width="7.42578125" style="216" customWidth="1"/>
    <col min="7462" max="7471" width="6.5703125" style="216" customWidth="1"/>
    <col min="7472" max="7510" width="9.140625" style="216" customWidth="1"/>
    <col min="7511" max="7511" width="68.28515625" style="216" customWidth="1"/>
    <col min="7512" max="7520" width="0" style="216" hidden="1" customWidth="1"/>
    <col min="7521" max="7523" width="14.85546875" style="216" customWidth="1"/>
    <col min="7524" max="7526" width="0" style="216" hidden="1" customWidth="1"/>
    <col min="7527" max="7527" width="12.7109375" style="216" customWidth="1"/>
    <col min="7528" max="7528" width="14.85546875" style="216" customWidth="1"/>
    <col min="7529" max="7529" width="12.7109375" style="216" customWidth="1"/>
    <col min="7530" max="7530" width="12.42578125" style="216" customWidth="1"/>
    <col min="7531" max="7531" width="13.140625" style="216" customWidth="1"/>
    <col min="7532" max="7533" width="12.42578125" style="216" customWidth="1"/>
    <col min="7534" max="7537" width="12.7109375" style="216" customWidth="1"/>
    <col min="7538" max="7538" width="14.85546875" style="216" customWidth="1"/>
    <col min="7539" max="7539" width="12.7109375" style="216" customWidth="1"/>
    <col min="7540" max="7540" width="14.85546875" style="216" customWidth="1"/>
    <col min="7541" max="7544" width="12.7109375" style="216" customWidth="1"/>
    <col min="7545" max="7545" width="14.85546875" style="216" customWidth="1"/>
    <col min="7546" max="7547" width="12.7109375" style="216" customWidth="1"/>
    <col min="7548" max="7548" width="14.85546875" style="216" customWidth="1"/>
    <col min="7549" max="7549" width="12.7109375" style="216" customWidth="1"/>
    <col min="7550" max="7564" width="0" style="216" hidden="1" customWidth="1"/>
    <col min="7565" max="7565" width="9.140625" style="216" customWidth="1"/>
    <col min="7566" max="7566" width="12" style="216" customWidth="1"/>
    <col min="7567" max="7567" width="66.28515625" style="216" customWidth="1"/>
    <col min="7568" max="7574" width="0" style="216" hidden="1" customWidth="1"/>
    <col min="7575" max="7575" width="15.140625" style="216" customWidth="1"/>
    <col min="7576" max="7576" width="0" style="216" hidden="1" customWidth="1"/>
    <col min="7577" max="7577" width="16.5703125" style="216" customWidth="1"/>
    <col min="7578" max="7581" width="0" style="216" hidden="1" customWidth="1"/>
    <col min="7582" max="7681" width="9.140625" style="216"/>
    <col min="7682" max="7682" width="0" style="216" hidden="1" customWidth="1"/>
    <col min="7683" max="7683" width="56" style="216" customWidth="1"/>
    <col min="7684" max="7684" width="19" style="216" customWidth="1"/>
    <col min="7685" max="7685" width="6.5703125" style="216" customWidth="1"/>
    <col min="7686" max="7686" width="7.42578125" style="216" customWidth="1"/>
    <col min="7687" max="7710" width="6.5703125" style="216" customWidth="1"/>
    <col min="7711" max="7711" width="6.7109375" style="216" customWidth="1"/>
    <col min="7712" max="7714" width="6.85546875" style="216" customWidth="1"/>
    <col min="7715" max="7715" width="7.28515625" style="216" customWidth="1"/>
    <col min="7716" max="7716" width="7.140625" style="216" customWidth="1"/>
    <col min="7717" max="7717" width="7.42578125" style="216" customWidth="1"/>
    <col min="7718" max="7727" width="6.5703125" style="216" customWidth="1"/>
    <col min="7728" max="7766" width="9.140625" style="216" customWidth="1"/>
    <col min="7767" max="7767" width="68.28515625" style="216" customWidth="1"/>
    <col min="7768" max="7776" width="0" style="216" hidden="1" customWidth="1"/>
    <col min="7777" max="7779" width="14.85546875" style="216" customWidth="1"/>
    <col min="7780" max="7782" width="0" style="216" hidden="1" customWidth="1"/>
    <col min="7783" max="7783" width="12.7109375" style="216" customWidth="1"/>
    <col min="7784" max="7784" width="14.85546875" style="216" customWidth="1"/>
    <col min="7785" max="7785" width="12.7109375" style="216" customWidth="1"/>
    <col min="7786" max="7786" width="12.42578125" style="216" customWidth="1"/>
    <col min="7787" max="7787" width="13.140625" style="216" customWidth="1"/>
    <col min="7788" max="7789" width="12.42578125" style="216" customWidth="1"/>
    <col min="7790" max="7793" width="12.7109375" style="216" customWidth="1"/>
    <col min="7794" max="7794" width="14.85546875" style="216" customWidth="1"/>
    <col min="7795" max="7795" width="12.7109375" style="216" customWidth="1"/>
    <col min="7796" max="7796" width="14.85546875" style="216" customWidth="1"/>
    <col min="7797" max="7800" width="12.7109375" style="216" customWidth="1"/>
    <col min="7801" max="7801" width="14.85546875" style="216" customWidth="1"/>
    <col min="7802" max="7803" width="12.7109375" style="216" customWidth="1"/>
    <col min="7804" max="7804" width="14.85546875" style="216" customWidth="1"/>
    <col min="7805" max="7805" width="12.7109375" style="216" customWidth="1"/>
    <col min="7806" max="7820" width="0" style="216" hidden="1" customWidth="1"/>
    <col min="7821" max="7821" width="9.140625" style="216" customWidth="1"/>
    <col min="7822" max="7822" width="12" style="216" customWidth="1"/>
    <col min="7823" max="7823" width="66.28515625" style="216" customWidth="1"/>
    <col min="7824" max="7830" width="0" style="216" hidden="1" customWidth="1"/>
    <col min="7831" max="7831" width="15.140625" style="216" customWidth="1"/>
    <col min="7832" max="7832" width="0" style="216" hidden="1" customWidth="1"/>
    <col min="7833" max="7833" width="16.5703125" style="216" customWidth="1"/>
    <col min="7834" max="7837" width="0" style="216" hidden="1" customWidth="1"/>
    <col min="7838" max="7937" width="9.140625" style="216"/>
    <col min="7938" max="7938" width="0" style="216" hidden="1" customWidth="1"/>
    <col min="7939" max="7939" width="56" style="216" customWidth="1"/>
    <col min="7940" max="7940" width="19" style="216" customWidth="1"/>
    <col min="7941" max="7941" width="6.5703125" style="216" customWidth="1"/>
    <col min="7942" max="7942" width="7.42578125" style="216" customWidth="1"/>
    <col min="7943" max="7966" width="6.5703125" style="216" customWidth="1"/>
    <col min="7967" max="7967" width="6.7109375" style="216" customWidth="1"/>
    <col min="7968" max="7970" width="6.85546875" style="216" customWidth="1"/>
    <col min="7971" max="7971" width="7.28515625" style="216" customWidth="1"/>
    <col min="7972" max="7972" width="7.140625" style="216" customWidth="1"/>
    <col min="7973" max="7973" width="7.42578125" style="216" customWidth="1"/>
    <col min="7974" max="7983" width="6.5703125" style="216" customWidth="1"/>
    <col min="7984" max="8022" width="9.140625" style="216" customWidth="1"/>
    <col min="8023" max="8023" width="68.28515625" style="216" customWidth="1"/>
    <col min="8024" max="8032" width="0" style="216" hidden="1" customWidth="1"/>
    <col min="8033" max="8035" width="14.85546875" style="216" customWidth="1"/>
    <col min="8036" max="8038" width="0" style="216" hidden="1" customWidth="1"/>
    <col min="8039" max="8039" width="12.7109375" style="216" customWidth="1"/>
    <col min="8040" max="8040" width="14.85546875" style="216" customWidth="1"/>
    <col min="8041" max="8041" width="12.7109375" style="216" customWidth="1"/>
    <col min="8042" max="8042" width="12.42578125" style="216" customWidth="1"/>
    <col min="8043" max="8043" width="13.140625" style="216" customWidth="1"/>
    <col min="8044" max="8045" width="12.42578125" style="216" customWidth="1"/>
    <col min="8046" max="8049" width="12.7109375" style="216" customWidth="1"/>
    <col min="8050" max="8050" width="14.85546875" style="216" customWidth="1"/>
    <col min="8051" max="8051" width="12.7109375" style="216" customWidth="1"/>
    <col min="8052" max="8052" width="14.85546875" style="216" customWidth="1"/>
    <col min="8053" max="8056" width="12.7109375" style="216" customWidth="1"/>
    <col min="8057" max="8057" width="14.85546875" style="216" customWidth="1"/>
    <col min="8058" max="8059" width="12.7109375" style="216" customWidth="1"/>
    <col min="8060" max="8060" width="14.85546875" style="216" customWidth="1"/>
    <col min="8061" max="8061" width="12.7109375" style="216" customWidth="1"/>
    <col min="8062" max="8076" width="0" style="216" hidden="1" customWidth="1"/>
    <col min="8077" max="8077" width="9.140625" style="216" customWidth="1"/>
    <col min="8078" max="8078" width="12" style="216" customWidth="1"/>
    <col min="8079" max="8079" width="66.28515625" style="216" customWidth="1"/>
    <col min="8080" max="8086" width="0" style="216" hidden="1" customWidth="1"/>
    <col min="8087" max="8087" width="15.140625" style="216" customWidth="1"/>
    <col min="8088" max="8088" width="0" style="216" hidden="1" customWidth="1"/>
    <col min="8089" max="8089" width="16.5703125" style="216" customWidth="1"/>
    <col min="8090" max="8093" width="0" style="216" hidden="1" customWidth="1"/>
    <col min="8094" max="8193" width="9.140625" style="216"/>
    <col min="8194" max="8194" width="0" style="216" hidden="1" customWidth="1"/>
    <col min="8195" max="8195" width="56" style="216" customWidth="1"/>
    <col min="8196" max="8196" width="19" style="216" customWidth="1"/>
    <col min="8197" max="8197" width="6.5703125" style="216" customWidth="1"/>
    <col min="8198" max="8198" width="7.42578125" style="216" customWidth="1"/>
    <col min="8199" max="8222" width="6.5703125" style="216" customWidth="1"/>
    <col min="8223" max="8223" width="6.7109375" style="216" customWidth="1"/>
    <col min="8224" max="8226" width="6.85546875" style="216" customWidth="1"/>
    <col min="8227" max="8227" width="7.28515625" style="216" customWidth="1"/>
    <col min="8228" max="8228" width="7.140625" style="216" customWidth="1"/>
    <col min="8229" max="8229" width="7.42578125" style="216" customWidth="1"/>
    <col min="8230" max="8239" width="6.5703125" style="216" customWidth="1"/>
    <col min="8240" max="8278" width="9.140625" style="216" customWidth="1"/>
    <col min="8279" max="8279" width="68.28515625" style="216" customWidth="1"/>
    <col min="8280" max="8288" width="0" style="216" hidden="1" customWidth="1"/>
    <col min="8289" max="8291" width="14.85546875" style="216" customWidth="1"/>
    <col min="8292" max="8294" width="0" style="216" hidden="1" customWidth="1"/>
    <col min="8295" max="8295" width="12.7109375" style="216" customWidth="1"/>
    <col min="8296" max="8296" width="14.85546875" style="216" customWidth="1"/>
    <col min="8297" max="8297" width="12.7109375" style="216" customWidth="1"/>
    <col min="8298" max="8298" width="12.42578125" style="216" customWidth="1"/>
    <col min="8299" max="8299" width="13.140625" style="216" customWidth="1"/>
    <col min="8300" max="8301" width="12.42578125" style="216" customWidth="1"/>
    <col min="8302" max="8305" width="12.7109375" style="216" customWidth="1"/>
    <col min="8306" max="8306" width="14.85546875" style="216" customWidth="1"/>
    <col min="8307" max="8307" width="12.7109375" style="216" customWidth="1"/>
    <col min="8308" max="8308" width="14.85546875" style="216" customWidth="1"/>
    <col min="8309" max="8312" width="12.7109375" style="216" customWidth="1"/>
    <col min="8313" max="8313" width="14.85546875" style="216" customWidth="1"/>
    <col min="8314" max="8315" width="12.7109375" style="216" customWidth="1"/>
    <col min="8316" max="8316" width="14.85546875" style="216" customWidth="1"/>
    <col min="8317" max="8317" width="12.7109375" style="216" customWidth="1"/>
    <col min="8318" max="8332" width="0" style="216" hidden="1" customWidth="1"/>
    <col min="8333" max="8333" width="9.140625" style="216" customWidth="1"/>
    <col min="8334" max="8334" width="12" style="216" customWidth="1"/>
    <col min="8335" max="8335" width="66.28515625" style="216" customWidth="1"/>
    <col min="8336" max="8342" width="0" style="216" hidden="1" customWidth="1"/>
    <col min="8343" max="8343" width="15.140625" style="216" customWidth="1"/>
    <col min="8344" max="8344" width="0" style="216" hidden="1" customWidth="1"/>
    <col min="8345" max="8345" width="16.5703125" style="216" customWidth="1"/>
    <col min="8346" max="8349" width="0" style="216" hidden="1" customWidth="1"/>
    <col min="8350" max="8449" width="9.140625" style="216"/>
    <col min="8450" max="8450" width="0" style="216" hidden="1" customWidth="1"/>
    <col min="8451" max="8451" width="56" style="216" customWidth="1"/>
    <col min="8452" max="8452" width="19" style="216" customWidth="1"/>
    <col min="8453" max="8453" width="6.5703125" style="216" customWidth="1"/>
    <col min="8454" max="8454" width="7.42578125" style="216" customWidth="1"/>
    <col min="8455" max="8478" width="6.5703125" style="216" customWidth="1"/>
    <col min="8479" max="8479" width="6.7109375" style="216" customWidth="1"/>
    <col min="8480" max="8482" width="6.85546875" style="216" customWidth="1"/>
    <col min="8483" max="8483" width="7.28515625" style="216" customWidth="1"/>
    <col min="8484" max="8484" width="7.140625" style="216" customWidth="1"/>
    <col min="8485" max="8485" width="7.42578125" style="216" customWidth="1"/>
    <col min="8486" max="8495" width="6.5703125" style="216" customWidth="1"/>
    <col min="8496" max="8534" width="9.140625" style="216" customWidth="1"/>
    <col min="8535" max="8535" width="68.28515625" style="216" customWidth="1"/>
    <col min="8536" max="8544" width="0" style="216" hidden="1" customWidth="1"/>
    <col min="8545" max="8547" width="14.85546875" style="216" customWidth="1"/>
    <col min="8548" max="8550" width="0" style="216" hidden="1" customWidth="1"/>
    <col min="8551" max="8551" width="12.7109375" style="216" customWidth="1"/>
    <col min="8552" max="8552" width="14.85546875" style="216" customWidth="1"/>
    <col min="8553" max="8553" width="12.7109375" style="216" customWidth="1"/>
    <col min="8554" max="8554" width="12.42578125" style="216" customWidth="1"/>
    <col min="8555" max="8555" width="13.140625" style="216" customWidth="1"/>
    <col min="8556" max="8557" width="12.42578125" style="216" customWidth="1"/>
    <col min="8558" max="8561" width="12.7109375" style="216" customWidth="1"/>
    <col min="8562" max="8562" width="14.85546875" style="216" customWidth="1"/>
    <col min="8563" max="8563" width="12.7109375" style="216" customWidth="1"/>
    <col min="8564" max="8564" width="14.85546875" style="216" customWidth="1"/>
    <col min="8565" max="8568" width="12.7109375" style="216" customWidth="1"/>
    <col min="8569" max="8569" width="14.85546875" style="216" customWidth="1"/>
    <col min="8570" max="8571" width="12.7109375" style="216" customWidth="1"/>
    <col min="8572" max="8572" width="14.85546875" style="216" customWidth="1"/>
    <col min="8573" max="8573" width="12.7109375" style="216" customWidth="1"/>
    <col min="8574" max="8588" width="0" style="216" hidden="1" customWidth="1"/>
    <col min="8589" max="8589" width="9.140625" style="216" customWidth="1"/>
    <col min="8590" max="8590" width="12" style="216" customWidth="1"/>
    <col min="8591" max="8591" width="66.28515625" style="216" customWidth="1"/>
    <col min="8592" max="8598" width="0" style="216" hidden="1" customWidth="1"/>
    <col min="8599" max="8599" width="15.140625" style="216" customWidth="1"/>
    <col min="8600" max="8600" width="0" style="216" hidden="1" customWidth="1"/>
    <col min="8601" max="8601" width="16.5703125" style="216" customWidth="1"/>
    <col min="8602" max="8605" width="0" style="216" hidden="1" customWidth="1"/>
    <col min="8606" max="8705" width="9.140625" style="216"/>
    <col min="8706" max="8706" width="0" style="216" hidden="1" customWidth="1"/>
    <col min="8707" max="8707" width="56" style="216" customWidth="1"/>
    <col min="8708" max="8708" width="19" style="216" customWidth="1"/>
    <col min="8709" max="8709" width="6.5703125" style="216" customWidth="1"/>
    <col min="8710" max="8710" width="7.42578125" style="216" customWidth="1"/>
    <col min="8711" max="8734" width="6.5703125" style="216" customWidth="1"/>
    <col min="8735" max="8735" width="6.7109375" style="216" customWidth="1"/>
    <col min="8736" max="8738" width="6.85546875" style="216" customWidth="1"/>
    <col min="8739" max="8739" width="7.28515625" style="216" customWidth="1"/>
    <col min="8740" max="8740" width="7.140625" style="216" customWidth="1"/>
    <col min="8741" max="8741" width="7.42578125" style="216" customWidth="1"/>
    <col min="8742" max="8751" width="6.5703125" style="216" customWidth="1"/>
    <col min="8752" max="8790" width="9.140625" style="216" customWidth="1"/>
    <col min="8791" max="8791" width="68.28515625" style="216" customWidth="1"/>
    <col min="8792" max="8800" width="0" style="216" hidden="1" customWidth="1"/>
    <col min="8801" max="8803" width="14.85546875" style="216" customWidth="1"/>
    <col min="8804" max="8806" width="0" style="216" hidden="1" customWidth="1"/>
    <col min="8807" max="8807" width="12.7109375" style="216" customWidth="1"/>
    <col min="8808" max="8808" width="14.85546875" style="216" customWidth="1"/>
    <col min="8809" max="8809" width="12.7109375" style="216" customWidth="1"/>
    <col min="8810" max="8810" width="12.42578125" style="216" customWidth="1"/>
    <col min="8811" max="8811" width="13.140625" style="216" customWidth="1"/>
    <col min="8812" max="8813" width="12.42578125" style="216" customWidth="1"/>
    <col min="8814" max="8817" width="12.7109375" style="216" customWidth="1"/>
    <col min="8818" max="8818" width="14.85546875" style="216" customWidth="1"/>
    <col min="8819" max="8819" width="12.7109375" style="216" customWidth="1"/>
    <col min="8820" max="8820" width="14.85546875" style="216" customWidth="1"/>
    <col min="8821" max="8824" width="12.7109375" style="216" customWidth="1"/>
    <col min="8825" max="8825" width="14.85546875" style="216" customWidth="1"/>
    <col min="8826" max="8827" width="12.7109375" style="216" customWidth="1"/>
    <col min="8828" max="8828" width="14.85546875" style="216" customWidth="1"/>
    <col min="8829" max="8829" width="12.7109375" style="216" customWidth="1"/>
    <col min="8830" max="8844" width="0" style="216" hidden="1" customWidth="1"/>
    <col min="8845" max="8845" width="9.140625" style="216" customWidth="1"/>
    <col min="8846" max="8846" width="12" style="216" customWidth="1"/>
    <col min="8847" max="8847" width="66.28515625" style="216" customWidth="1"/>
    <col min="8848" max="8854" width="0" style="216" hidden="1" customWidth="1"/>
    <col min="8855" max="8855" width="15.140625" style="216" customWidth="1"/>
    <col min="8856" max="8856" width="0" style="216" hidden="1" customWidth="1"/>
    <col min="8857" max="8857" width="16.5703125" style="216" customWidth="1"/>
    <col min="8858" max="8861" width="0" style="216" hidden="1" customWidth="1"/>
    <col min="8862" max="8961" width="9.140625" style="216"/>
    <col min="8962" max="8962" width="0" style="216" hidden="1" customWidth="1"/>
    <col min="8963" max="8963" width="56" style="216" customWidth="1"/>
    <col min="8964" max="8964" width="19" style="216" customWidth="1"/>
    <col min="8965" max="8965" width="6.5703125" style="216" customWidth="1"/>
    <col min="8966" max="8966" width="7.42578125" style="216" customWidth="1"/>
    <col min="8967" max="8990" width="6.5703125" style="216" customWidth="1"/>
    <col min="8991" max="8991" width="6.7109375" style="216" customWidth="1"/>
    <col min="8992" max="8994" width="6.85546875" style="216" customWidth="1"/>
    <col min="8995" max="8995" width="7.28515625" style="216" customWidth="1"/>
    <col min="8996" max="8996" width="7.140625" style="216" customWidth="1"/>
    <col min="8997" max="8997" width="7.42578125" style="216" customWidth="1"/>
    <col min="8998" max="9007" width="6.5703125" style="216" customWidth="1"/>
    <col min="9008" max="9046" width="9.140625" style="216" customWidth="1"/>
    <col min="9047" max="9047" width="68.28515625" style="216" customWidth="1"/>
    <col min="9048" max="9056" width="0" style="216" hidden="1" customWidth="1"/>
    <col min="9057" max="9059" width="14.85546875" style="216" customWidth="1"/>
    <col min="9060" max="9062" width="0" style="216" hidden="1" customWidth="1"/>
    <col min="9063" max="9063" width="12.7109375" style="216" customWidth="1"/>
    <col min="9064" max="9064" width="14.85546875" style="216" customWidth="1"/>
    <col min="9065" max="9065" width="12.7109375" style="216" customWidth="1"/>
    <col min="9066" max="9066" width="12.42578125" style="216" customWidth="1"/>
    <col min="9067" max="9067" width="13.140625" style="216" customWidth="1"/>
    <col min="9068" max="9069" width="12.42578125" style="216" customWidth="1"/>
    <col min="9070" max="9073" width="12.7109375" style="216" customWidth="1"/>
    <col min="9074" max="9074" width="14.85546875" style="216" customWidth="1"/>
    <col min="9075" max="9075" width="12.7109375" style="216" customWidth="1"/>
    <col min="9076" max="9076" width="14.85546875" style="216" customWidth="1"/>
    <col min="9077" max="9080" width="12.7109375" style="216" customWidth="1"/>
    <col min="9081" max="9081" width="14.85546875" style="216" customWidth="1"/>
    <col min="9082" max="9083" width="12.7109375" style="216" customWidth="1"/>
    <col min="9084" max="9084" width="14.85546875" style="216" customWidth="1"/>
    <col min="9085" max="9085" width="12.7109375" style="216" customWidth="1"/>
    <col min="9086" max="9100" width="0" style="216" hidden="1" customWidth="1"/>
    <col min="9101" max="9101" width="9.140625" style="216" customWidth="1"/>
    <col min="9102" max="9102" width="12" style="216" customWidth="1"/>
    <col min="9103" max="9103" width="66.28515625" style="216" customWidth="1"/>
    <col min="9104" max="9110" width="0" style="216" hidden="1" customWidth="1"/>
    <col min="9111" max="9111" width="15.140625" style="216" customWidth="1"/>
    <col min="9112" max="9112" width="0" style="216" hidden="1" customWidth="1"/>
    <col min="9113" max="9113" width="16.5703125" style="216" customWidth="1"/>
    <col min="9114" max="9117" width="0" style="216" hidden="1" customWidth="1"/>
    <col min="9118" max="9217" width="9.140625" style="216"/>
    <col min="9218" max="9218" width="0" style="216" hidden="1" customWidth="1"/>
    <col min="9219" max="9219" width="56" style="216" customWidth="1"/>
    <col min="9220" max="9220" width="19" style="216" customWidth="1"/>
    <col min="9221" max="9221" width="6.5703125" style="216" customWidth="1"/>
    <col min="9222" max="9222" width="7.42578125" style="216" customWidth="1"/>
    <col min="9223" max="9246" width="6.5703125" style="216" customWidth="1"/>
    <col min="9247" max="9247" width="6.7109375" style="216" customWidth="1"/>
    <col min="9248" max="9250" width="6.85546875" style="216" customWidth="1"/>
    <col min="9251" max="9251" width="7.28515625" style="216" customWidth="1"/>
    <col min="9252" max="9252" width="7.140625" style="216" customWidth="1"/>
    <col min="9253" max="9253" width="7.42578125" style="216" customWidth="1"/>
    <col min="9254" max="9263" width="6.5703125" style="216" customWidth="1"/>
    <col min="9264" max="9302" width="9.140625" style="216" customWidth="1"/>
    <col min="9303" max="9303" width="68.28515625" style="216" customWidth="1"/>
    <col min="9304" max="9312" width="0" style="216" hidden="1" customWidth="1"/>
    <col min="9313" max="9315" width="14.85546875" style="216" customWidth="1"/>
    <col min="9316" max="9318" width="0" style="216" hidden="1" customWidth="1"/>
    <col min="9319" max="9319" width="12.7109375" style="216" customWidth="1"/>
    <col min="9320" max="9320" width="14.85546875" style="216" customWidth="1"/>
    <col min="9321" max="9321" width="12.7109375" style="216" customWidth="1"/>
    <col min="9322" max="9322" width="12.42578125" style="216" customWidth="1"/>
    <col min="9323" max="9323" width="13.140625" style="216" customWidth="1"/>
    <col min="9324" max="9325" width="12.42578125" style="216" customWidth="1"/>
    <col min="9326" max="9329" width="12.7109375" style="216" customWidth="1"/>
    <col min="9330" max="9330" width="14.85546875" style="216" customWidth="1"/>
    <col min="9331" max="9331" width="12.7109375" style="216" customWidth="1"/>
    <col min="9332" max="9332" width="14.85546875" style="216" customWidth="1"/>
    <col min="9333" max="9336" width="12.7109375" style="216" customWidth="1"/>
    <col min="9337" max="9337" width="14.85546875" style="216" customWidth="1"/>
    <col min="9338" max="9339" width="12.7109375" style="216" customWidth="1"/>
    <col min="9340" max="9340" width="14.85546875" style="216" customWidth="1"/>
    <col min="9341" max="9341" width="12.7109375" style="216" customWidth="1"/>
    <col min="9342" max="9356" width="0" style="216" hidden="1" customWidth="1"/>
    <col min="9357" max="9357" width="9.140625" style="216" customWidth="1"/>
    <col min="9358" max="9358" width="12" style="216" customWidth="1"/>
    <col min="9359" max="9359" width="66.28515625" style="216" customWidth="1"/>
    <col min="9360" max="9366" width="0" style="216" hidden="1" customWidth="1"/>
    <col min="9367" max="9367" width="15.140625" style="216" customWidth="1"/>
    <col min="9368" max="9368" width="0" style="216" hidden="1" customWidth="1"/>
    <col min="9369" max="9369" width="16.5703125" style="216" customWidth="1"/>
    <col min="9370" max="9373" width="0" style="216" hidden="1" customWidth="1"/>
    <col min="9374" max="9473" width="9.140625" style="216"/>
    <col min="9474" max="9474" width="0" style="216" hidden="1" customWidth="1"/>
    <col min="9475" max="9475" width="56" style="216" customWidth="1"/>
    <col min="9476" max="9476" width="19" style="216" customWidth="1"/>
    <col min="9477" max="9477" width="6.5703125" style="216" customWidth="1"/>
    <col min="9478" max="9478" width="7.42578125" style="216" customWidth="1"/>
    <col min="9479" max="9502" width="6.5703125" style="216" customWidth="1"/>
    <col min="9503" max="9503" width="6.7109375" style="216" customWidth="1"/>
    <col min="9504" max="9506" width="6.85546875" style="216" customWidth="1"/>
    <col min="9507" max="9507" width="7.28515625" style="216" customWidth="1"/>
    <col min="9508" max="9508" width="7.140625" style="216" customWidth="1"/>
    <col min="9509" max="9509" width="7.42578125" style="216" customWidth="1"/>
    <col min="9510" max="9519" width="6.5703125" style="216" customWidth="1"/>
    <col min="9520" max="9558" width="9.140625" style="216" customWidth="1"/>
    <col min="9559" max="9559" width="68.28515625" style="216" customWidth="1"/>
    <col min="9560" max="9568" width="0" style="216" hidden="1" customWidth="1"/>
    <col min="9569" max="9571" width="14.85546875" style="216" customWidth="1"/>
    <col min="9572" max="9574" width="0" style="216" hidden="1" customWidth="1"/>
    <col min="9575" max="9575" width="12.7109375" style="216" customWidth="1"/>
    <col min="9576" max="9576" width="14.85546875" style="216" customWidth="1"/>
    <col min="9577" max="9577" width="12.7109375" style="216" customWidth="1"/>
    <col min="9578" max="9578" width="12.42578125" style="216" customWidth="1"/>
    <col min="9579" max="9579" width="13.140625" style="216" customWidth="1"/>
    <col min="9580" max="9581" width="12.42578125" style="216" customWidth="1"/>
    <col min="9582" max="9585" width="12.7109375" style="216" customWidth="1"/>
    <col min="9586" max="9586" width="14.85546875" style="216" customWidth="1"/>
    <col min="9587" max="9587" width="12.7109375" style="216" customWidth="1"/>
    <col min="9588" max="9588" width="14.85546875" style="216" customWidth="1"/>
    <col min="9589" max="9592" width="12.7109375" style="216" customWidth="1"/>
    <col min="9593" max="9593" width="14.85546875" style="216" customWidth="1"/>
    <col min="9594" max="9595" width="12.7109375" style="216" customWidth="1"/>
    <col min="9596" max="9596" width="14.85546875" style="216" customWidth="1"/>
    <col min="9597" max="9597" width="12.7109375" style="216" customWidth="1"/>
    <col min="9598" max="9612" width="0" style="216" hidden="1" customWidth="1"/>
    <col min="9613" max="9613" width="9.140625" style="216" customWidth="1"/>
    <col min="9614" max="9614" width="12" style="216" customWidth="1"/>
    <col min="9615" max="9615" width="66.28515625" style="216" customWidth="1"/>
    <col min="9616" max="9622" width="0" style="216" hidden="1" customWidth="1"/>
    <col min="9623" max="9623" width="15.140625" style="216" customWidth="1"/>
    <col min="9624" max="9624" width="0" style="216" hidden="1" customWidth="1"/>
    <col min="9625" max="9625" width="16.5703125" style="216" customWidth="1"/>
    <col min="9626" max="9629" width="0" style="216" hidden="1" customWidth="1"/>
    <col min="9630" max="9729" width="9.140625" style="216"/>
    <col min="9730" max="9730" width="0" style="216" hidden="1" customWidth="1"/>
    <col min="9731" max="9731" width="56" style="216" customWidth="1"/>
    <col min="9732" max="9732" width="19" style="216" customWidth="1"/>
    <col min="9733" max="9733" width="6.5703125" style="216" customWidth="1"/>
    <col min="9734" max="9734" width="7.42578125" style="216" customWidth="1"/>
    <col min="9735" max="9758" width="6.5703125" style="216" customWidth="1"/>
    <col min="9759" max="9759" width="6.7109375" style="216" customWidth="1"/>
    <col min="9760" max="9762" width="6.85546875" style="216" customWidth="1"/>
    <col min="9763" max="9763" width="7.28515625" style="216" customWidth="1"/>
    <col min="9764" max="9764" width="7.140625" style="216" customWidth="1"/>
    <col min="9765" max="9765" width="7.42578125" style="216" customWidth="1"/>
    <col min="9766" max="9775" width="6.5703125" style="216" customWidth="1"/>
    <col min="9776" max="9814" width="9.140625" style="216" customWidth="1"/>
    <col min="9815" max="9815" width="68.28515625" style="216" customWidth="1"/>
    <col min="9816" max="9824" width="0" style="216" hidden="1" customWidth="1"/>
    <col min="9825" max="9827" width="14.85546875" style="216" customWidth="1"/>
    <col min="9828" max="9830" width="0" style="216" hidden="1" customWidth="1"/>
    <col min="9831" max="9831" width="12.7109375" style="216" customWidth="1"/>
    <col min="9832" max="9832" width="14.85546875" style="216" customWidth="1"/>
    <col min="9833" max="9833" width="12.7109375" style="216" customWidth="1"/>
    <col min="9834" max="9834" width="12.42578125" style="216" customWidth="1"/>
    <col min="9835" max="9835" width="13.140625" style="216" customWidth="1"/>
    <col min="9836" max="9837" width="12.42578125" style="216" customWidth="1"/>
    <col min="9838" max="9841" width="12.7109375" style="216" customWidth="1"/>
    <col min="9842" max="9842" width="14.85546875" style="216" customWidth="1"/>
    <col min="9843" max="9843" width="12.7109375" style="216" customWidth="1"/>
    <col min="9844" max="9844" width="14.85546875" style="216" customWidth="1"/>
    <col min="9845" max="9848" width="12.7109375" style="216" customWidth="1"/>
    <col min="9849" max="9849" width="14.85546875" style="216" customWidth="1"/>
    <col min="9850" max="9851" width="12.7109375" style="216" customWidth="1"/>
    <col min="9852" max="9852" width="14.85546875" style="216" customWidth="1"/>
    <col min="9853" max="9853" width="12.7109375" style="216" customWidth="1"/>
    <col min="9854" max="9868" width="0" style="216" hidden="1" customWidth="1"/>
    <col min="9869" max="9869" width="9.140625" style="216" customWidth="1"/>
    <col min="9870" max="9870" width="12" style="216" customWidth="1"/>
    <col min="9871" max="9871" width="66.28515625" style="216" customWidth="1"/>
    <col min="9872" max="9878" width="0" style="216" hidden="1" customWidth="1"/>
    <col min="9879" max="9879" width="15.140625" style="216" customWidth="1"/>
    <col min="9880" max="9880" width="0" style="216" hidden="1" customWidth="1"/>
    <col min="9881" max="9881" width="16.5703125" style="216" customWidth="1"/>
    <col min="9882" max="9885" width="0" style="216" hidden="1" customWidth="1"/>
    <col min="9886" max="9985" width="9.140625" style="216"/>
    <col min="9986" max="9986" width="0" style="216" hidden="1" customWidth="1"/>
    <col min="9987" max="9987" width="56" style="216" customWidth="1"/>
    <col min="9988" max="9988" width="19" style="216" customWidth="1"/>
    <col min="9989" max="9989" width="6.5703125" style="216" customWidth="1"/>
    <col min="9990" max="9990" width="7.42578125" style="216" customWidth="1"/>
    <col min="9991" max="10014" width="6.5703125" style="216" customWidth="1"/>
    <col min="10015" max="10015" width="6.7109375" style="216" customWidth="1"/>
    <col min="10016" max="10018" width="6.85546875" style="216" customWidth="1"/>
    <col min="10019" max="10019" width="7.28515625" style="216" customWidth="1"/>
    <col min="10020" max="10020" width="7.140625" style="216" customWidth="1"/>
    <col min="10021" max="10021" width="7.42578125" style="216" customWidth="1"/>
    <col min="10022" max="10031" width="6.5703125" style="216" customWidth="1"/>
    <col min="10032" max="10070" width="9.140625" style="216" customWidth="1"/>
    <col min="10071" max="10071" width="68.28515625" style="216" customWidth="1"/>
    <col min="10072" max="10080" width="0" style="216" hidden="1" customWidth="1"/>
    <col min="10081" max="10083" width="14.85546875" style="216" customWidth="1"/>
    <col min="10084" max="10086" width="0" style="216" hidden="1" customWidth="1"/>
    <col min="10087" max="10087" width="12.7109375" style="216" customWidth="1"/>
    <col min="10088" max="10088" width="14.85546875" style="216" customWidth="1"/>
    <col min="10089" max="10089" width="12.7109375" style="216" customWidth="1"/>
    <col min="10090" max="10090" width="12.42578125" style="216" customWidth="1"/>
    <col min="10091" max="10091" width="13.140625" style="216" customWidth="1"/>
    <col min="10092" max="10093" width="12.42578125" style="216" customWidth="1"/>
    <col min="10094" max="10097" width="12.7109375" style="216" customWidth="1"/>
    <col min="10098" max="10098" width="14.85546875" style="216" customWidth="1"/>
    <col min="10099" max="10099" width="12.7109375" style="216" customWidth="1"/>
    <col min="10100" max="10100" width="14.85546875" style="216" customWidth="1"/>
    <col min="10101" max="10104" width="12.7109375" style="216" customWidth="1"/>
    <col min="10105" max="10105" width="14.85546875" style="216" customWidth="1"/>
    <col min="10106" max="10107" width="12.7109375" style="216" customWidth="1"/>
    <col min="10108" max="10108" width="14.85546875" style="216" customWidth="1"/>
    <col min="10109" max="10109" width="12.7109375" style="216" customWidth="1"/>
    <col min="10110" max="10124" width="0" style="216" hidden="1" customWidth="1"/>
    <col min="10125" max="10125" width="9.140625" style="216" customWidth="1"/>
    <col min="10126" max="10126" width="12" style="216" customWidth="1"/>
    <col min="10127" max="10127" width="66.28515625" style="216" customWidth="1"/>
    <col min="10128" max="10134" width="0" style="216" hidden="1" customWidth="1"/>
    <col min="10135" max="10135" width="15.140625" style="216" customWidth="1"/>
    <col min="10136" max="10136" width="0" style="216" hidden="1" customWidth="1"/>
    <col min="10137" max="10137" width="16.5703125" style="216" customWidth="1"/>
    <col min="10138" max="10141" width="0" style="216" hidden="1" customWidth="1"/>
    <col min="10142" max="10241" width="9.140625" style="216"/>
    <col min="10242" max="10242" width="0" style="216" hidden="1" customWidth="1"/>
    <col min="10243" max="10243" width="56" style="216" customWidth="1"/>
    <col min="10244" max="10244" width="19" style="216" customWidth="1"/>
    <col min="10245" max="10245" width="6.5703125" style="216" customWidth="1"/>
    <col min="10246" max="10246" width="7.42578125" style="216" customWidth="1"/>
    <col min="10247" max="10270" width="6.5703125" style="216" customWidth="1"/>
    <col min="10271" max="10271" width="6.7109375" style="216" customWidth="1"/>
    <col min="10272" max="10274" width="6.85546875" style="216" customWidth="1"/>
    <col min="10275" max="10275" width="7.28515625" style="216" customWidth="1"/>
    <col min="10276" max="10276" width="7.140625" style="216" customWidth="1"/>
    <col min="10277" max="10277" width="7.42578125" style="216" customWidth="1"/>
    <col min="10278" max="10287" width="6.5703125" style="216" customWidth="1"/>
    <col min="10288" max="10326" width="9.140625" style="216" customWidth="1"/>
    <col min="10327" max="10327" width="68.28515625" style="216" customWidth="1"/>
    <col min="10328" max="10336" width="0" style="216" hidden="1" customWidth="1"/>
    <col min="10337" max="10339" width="14.85546875" style="216" customWidth="1"/>
    <col min="10340" max="10342" width="0" style="216" hidden="1" customWidth="1"/>
    <col min="10343" max="10343" width="12.7109375" style="216" customWidth="1"/>
    <col min="10344" max="10344" width="14.85546875" style="216" customWidth="1"/>
    <col min="10345" max="10345" width="12.7109375" style="216" customWidth="1"/>
    <col min="10346" max="10346" width="12.42578125" style="216" customWidth="1"/>
    <col min="10347" max="10347" width="13.140625" style="216" customWidth="1"/>
    <col min="10348" max="10349" width="12.42578125" style="216" customWidth="1"/>
    <col min="10350" max="10353" width="12.7109375" style="216" customWidth="1"/>
    <col min="10354" max="10354" width="14.85546875" style="216" customWidth="1"/>
    <col min="10355" max="10355" width="12.7109375" style="216" customWidth="1"/>
    <col min="10356" max="10356" width="14.85546875" style="216" customWidth="1"/>
    <col min="10357" max="10360" width="12.7109375" style="216" customWidth="1"/>
    <col min="10361" max="10361" width="14.85546875" style="216" customWidth="1"/>
    <col min="10362" max="10363" width="12.7109375" style="216" customWidth="1"/>
    <col min="10364" max="10364" width="14.85546875" style="216" customWidth="1"/>
    <col min="10365" max="10365" width="12.7109375" style="216" customWidth="1"/>
    <col min="10366" max="10380" width="0" style="216" hidden="1" customWidth="1"/>
    <col min="10381" max="10381" width="9.140625" style="216" customWidth="1"/>
    <col min="10382" max="10382" width="12" style="216" customWidth="1"/>
    <col min="10383" max="10383" width="66.28515625" style="216" customWidth="1"/>
    <col min="10384" max="10390" width="0" style="216" hidden="1" customWidth="1"/>
    <col min="10391" max="10391" width="15.140625" style="216" customWidth="1"/>
    <col min="10392" max="10392" width="0" style="216" hidden="1" customWidth="1"/>
    <col min="10393" max="10393" width="16.5703125" style="216" customWidth="1"/>
    <col min="10394" max="10397" width="0" style="216" hidden="1" customWidth="1"/>
    <col min="10398" max="10497" width="9.140625" style="216"/>
    <col min="10498" max="10498" width="0" style="216" hidden="1" customWidth="1"/>
    <col min="10499" max="10499" width="56" style="216" customWidth="1"/>
    <col min="10500" max="10500" width="19" style="216" customWidth="1"/>
    <col min="10501" max="10501" width="6.5703125" style="216" customWidth="1"/>
    <col min="10502" max="10502" width="7.42578125" style="216" customWidth="1"/>
    <col min="10503" max="10526" width="6.5703125" style="216" customWidth="1"/>
    <col min="10527" max="10527" width="6.7109375" style="216" customWidth="1"/>
    <col min="10528" max="10530" width="6.85546875" style="216" customWidth="1"/>
    <col min="10531" max="10531" width="7.28515625" style="216" customWidth="1"/>
    <col min="10532" max="10532" width="7.140625" style="216" customWidth="1"/>
    <col min="10533" max="10533" width="7.42578125" style="216" customWidth="1"/>
    <col min="10534" max="10543" width="6.5703125" style="216" customWidth="1"/>
    <col min="10544" max="10582" width="9.140625" style="216" customWidth="1"/>
    <col min="10583" max="10583" width="68.28515625" style="216" customWidth="1"/>
    <col min="10584" max="10592" width="0" style="216" hidden="1" customWidth="1"/>
    <col min="10593" max="10595" width="14.85546875" style="216" customWidth="1"/>
    <col min="10596" max="10598" width="0" style="216" hidden="1" customWidth="1"/>
    <col min="10599" max="10599" width="12.7109375" style="216" customWidth="1"/>
    <col min="10600" max="10600" width="14.85546875" style="216" customWidth="1"/>
    <col min="10601" max="10601" width="12.7109375" style="216" customWidth="1"/>
    <col min="10602" max="10602" width="12.42578125" style="216" customWidth="1"/>
    <col min="10603" max="10603" width="13.140625" style="216" customWidth="1"/>
    <col min="10604" max="10605" width="12.42578125" style="216" customWidth="1"/>
    <col min="10606" max="10609" width="12.7109375" style="216" customWidth="1"/>
    <col min="10610" max="10610" width="14.85546875" style="216" customWidth="1"/>
    <col min="10611" max="10611" width="12.7109375" style="216" customWidth="1"/>
    <col min="10612" max="10612" width="14.85546875" style="216" customWidth="1"/>
    <col min="10613" max="10616" width="12.7109375" style="216" customWidth="1"/>
    <col min="10617" max="10617" width="14.85546875" style="216" customWidth="1"/>
    <col min="10618" max="10619" width="12.7109375" style="216" customWidth="1"/>
    <col min="10620" max="10620" width="14.85546875" style="216" customWidth="1"/>
    <col min="10621" max="10621" width="12.7109375" style="216" customWidth="1"/>
    <col min="10622" max="10636" width="0" style="216" hidden="1" customWidth="1"/>
    <col min="10637" max="10637" width="9.140625" style="216" customWidth="1"/>
    <col min="10638" max="10638" width="12" style="216" customWidth="1"/>
    <col min="10639" max="10639" width="66.28515625" style="216" customWidth="1"/>
    <col min="10640" max="10646" width="0" style="216" hidden="1" customWidth="1"/>
    <col min="10647" max="10647" width="15.140625" style="216" customWidth="1"/>
    <col min="10648" max="10648" width="0" style="216" hidden="1" customWidth="1"/>
    <col min="10649" max="10649" width="16.5703125" style="216" customWidth="1"/>
    <col min="10650" max="10653" width="0" style="216" hidden="1" customWidth="1"/>
    <col min="10654" max="10753" width="9.140625" style="216"/>
    <col min="10754" max="10754" width="0" style="216" hidden="1" customWidth="1"/>
    <col min="10755" max="10755" width="56" style="216" customWidth="1"/>
    <col min="10756" max="10756" width="19" style="216" customWidth="1"/>
    <col min="10757" max="10757" width="6.5703125" style="216" customWidth="1"/>
    <col min="10758" max="10758" width="7.42578125" style="216" customWidth="1"/>
    <col min="10759" max="10782" width="6.5703125" style="216" customWidth="1"/>
    <col min="10783" max="10783" width="6.7109375" style="216" customWidth="1"/>
    <col min="10784" max="10786" width="6.85546875" style="216" customWidth="1"/>
    <col min="10787" max="10787" width="7.28515625" style="216" customWidth="1"/>
    <col min="10788" max="10788" width="7.140625" style="216" customWidth="1"/>
    <col min="10789" max="10789" width="7.42578125" style="216" customWidth="1"/>
    <col min="10790" max="10799" width="6.5703125" style="216" customWidth="1"/>
    <col min="10800" max="10838" width="9.140625" style="216" customWidth="1"/>
    <col min="10839" max="10839" width="68.28515625" style="216" customWidth="1"/>
    <col min="10840" max="10848" width="0" style="216" hidden="1" customWidth="1"/>
    <col min="10849" max="10851" width="14.85546875" style="216" customWidth="1"/>
    <col min="10852" max="10854" width="0" style="216" hidden="1" customWidth="1"/>
    <col min="10855" max="10855" width="12.7109375" style="216" customWidth="1"/>
    <col min="10856" max="10856" width="14.85546875" style="216" customWidth="1"/>
    <col min="10857" max="10857" width="12.7109375" style="216" customWidth="1"/>
    <col min="10858" max="10858" width="12.42578125" style="216" customWidth="1"/>
    <col min="10859" max="10859" width="13.140625" style="216" customWidth="1"/>
    <col min="10860" max="10861" width="12.42578125" style="216" customWidth="1"/>
    <col min="10862" max="10865" width="12.7109375" style="216" customWidth="1"/>
    <col min="10866" max="10866" width="14.85546875" style="216" customWidth="1"/>
    <col min="10867" max="10867" width="12.7109375" style="216" customWidth="1"/>
    <col min="10868" max="10868" width="14.85546875" style="216" customWidth="1"/>
    <col min="10869" max="10872" width="12.7109375" style="216" customWidth="1"/>
    <col min="10873" max="10873" width="14.85546875" style="216" customWidth="1"/>
    <col min="10874" max="10875" width="12.7109375" style="216" customWidth="1"/>
    <col min="10876" max="10876" width="14.85546875" style="216" customWidth="1"/>
    <col min="10877" max="10877" width="12.7109375" style="216" customWidth="1"/>
    <col min="10878" max="10892" width="0" style="216" hidden="1" customWidth="1"/>
    <col min="10893" max="10893" width="9.140625" style="216" customWidth="1"/>
    <col min="10894" max="10894" width="12" style="216" customWidth="1"/>
    <col min="10895" max="10895" width="66.28515625" style="216" customWidth="1"/>
    <col min="10896" max="10902" width="0" style="216" hidden="1" customWidth="1"/>
    <col min="10903" max="10903" width="15.140625" style="216" customWidth="1"/>
    <col min="10904" max="10904" width="0" style="216" hidden="1" customWidth="1"/>
    <col min="10905" max="10905" width="16.5703125" style="216" customWidth="1"/>
    <col min="10906" max="10909" width="0" style="216" hidden="1" customWidth="1"/>
    <col min="10910" max="11009" width="9.140625" style="216"/>
    <col min="11010" max="11010" width="0" style="216" hidden="1" customWidth="1"/>
    <col min="11011" max="11011" width="56" style="216" customWidth="1"/>
    <col min="11012" max="11012" width="19" style="216" customWidth="1"/>
    <col min="11013" max="11013" width="6.5703125" style="216" customWidth="1"/>
    <col min="11014" max="11014" width="7.42578125" style="216" customWidth="1"/>
    <col min="11015" max="11038" width="6.5703125" style="216" customWidth="1"/>
    <col min="11039" max="11039" width="6.7109375" style="216" customWidth="1"/>
    <col min="11040" max="11042" width="6.85546875" style="216" customWidth="1"/>
    <col min="11043" max="11043" width="7.28515625" style="216" customWidth="1"/>
    <col min="11044" max="11044" width="7.140625" style="216" customWidth="1"/>
    <col min="11045" max="11045" width="7.42578125" style="216" customWidth="1"/>
    <col min="11046" max="11055" width="6.5703125" style="216" customWidth="1"/>
    <col min="11056" max="11094" width="9.140625" style="216" customWidth="1"/>
    <col min="11095" max="11095" width="68.28515625" style="216" customWidth="1"/>
    <col min="11096" max="11104" width="0" style="216" hidden="1" customWidth="1"/>
    <col min="11105" max="11107" width="14.85546875" style="216" customWidth="1"/>
    <col min="11108" max="11110" width="0" style="216" hidden="1" customWidth="1"/>
    <col min="11111" max="11111" width="12.7109375" style="216" customWidth="1"/>
    <col min="11112" max="11112" width="14.85546875" style="216" customWidth="1"/>
    <col min="11113" max="11113" width="12.7109375" style="216" customWidth="1"/>
    <col min="11114" max="11114" width="12.42578125" style="216" customWidth="1"/>
    <col min="11115" max="11115" width="13.140625" style="216" customWidth="1"/>
    <col min="11116" max="11117" width="12.42578125" style="216" customWidth="1"/>
    <col min="11118" max="11121" width="12.7109375" style="216" customWidth="1"/>
    <col min="11122" max="11122" width="14.85546875" style="216" customWidth="1"/>
    <col min="11123" max="11123" width="12.7109375" style="216" customWidth="1"/>
    <col min="11124" max="11124" width="14.85546875" style="216" customWidth="1"/>
    <col min="11125" max="11128" width="12.7109375" style="216" customWidth="1"/>
    <col min="11129" max="11129" width="14.85546875" style="216" customWidth="1"/>
    <col min="11130" max="11131" width="12.7109375" style="216" customWidth="1"/>
    <col min="11132" max="11132" width="14.85546875" style="216" customWidth="1"/>
    <col min="11133" max="11133" width="12.7109375" style="216" customWidth="1"/>
    <col min="11134" max="11148" width="0" style="216" hidden="1" customWidth="1"/>
    <col min="11149" max="11149" width="9.140625" style="216" customWidth="1"/>
    <col min="11150" max="11150" width="12" style="216" customWidth="1"/>
    <col min="11151" max="11151" width="66.28515625" style="216" customWidth="1"/>
    <col min="11152" max="11158" width="0" style="216" hidden="1" customWidth="1"/>
    <col min="11159" max="11159" width="15.140625" style="216" customWidth="1"/>
    <col min="11160" max="11160" width="0" style="216" hidden="1" customWidth="1"/>
    <col min="11161" max="11161" width="16.5703125" style="216" customWidth="1"/>
    <col min="11162" max="11165" width="0" style="216" hidden="1" customWidth="1"/>
    <col min="11166" max="11265" width="9.140625" style="216"/>
    <col min="11266" max="11266" width="0" style="216" hidden="1" customWidth="1"/>
    <col min="11267" max="11267" width="56" style="216" customWidth="1"/>
    <col min="11268" max="11268" width="19" style="216" customWidth="1"/>
    <col min="11269" max="11269" width="6.5703125" style="216" customWidth="1"/>
    <col min="11270" max="11270" width="7.42578125" style="216" customWidth="1"/>
    <col min="11271" max="11294" width="6.5703125" style="216" customWidth="1"/>
    <col min="11295" max="11295" width="6.7109375" style="216" customWidth="1"/>
    <col min="11296" max="11298" width="6.85546875" style="216" customWidth="1"/>
    <col min="11299" max="11299" width="7.28515625" style="216" customWidth="1"/>
    <col min="11300" max="11300" width="7.140625" style="216" customWidth="1"/>
    <col min="11301" max="11301" width="7.42578125" style="216" customWidth="1"/>
    <col min="11302" max="11311" width="6.5703125" style="216" customWidth="1"/>
    <col min="11312" max="11350" width="9.140625" style="216" customWidth="1"/>
    <col min="11351" max="11351" width="68.28515625" style="216" customWidth="1"/>
    <col min="11352" max="11360" width="0" style="216" hidden="1" customWidth="1"/>
    <col min="11361" max="11363" width="14.85546875" style="216" customWidth="1"/>
    <col min="11364" max="11366" width="0" style="216" hidden="1" customWidth="1"/>
    <col min="11367" max="11367" width="12.7109375" style="216" customWidth="1"/>
    <col min="11368" max="11368" width="14.85546875" style="216" customWidth="1"/>
    <col min="11369" max="11369" width="12.7109375" style="216" customWidth="1"/>
    <col min="11370" max="11370" width="12.42578125" style="216" customWidth="1"/>
    <col min="11371" max="11371" width="13.140625" style="216" customWidth="1"/>
    <col min="11372" max="11373" width="12.42578125" style="216" customWidth="1"/>
    <col min="11374" max="11377" width="12.7109375" style="216" customWidth="1"/>
    <col min="11378" max="11378" width="14.85546875" style="216" customWidth="1"/>
    <col min="11379" max="11379" width="12.7109375" style="216" customWidth="1"/>
    <col min="11380" max="11380" width="14.85546875" style="216" customWidth="1"/>
    <col min="11381" max="11384" width="12.7109375" style="216" customWidth="1"/>
    <col min="11385" max="11385" width="14.85546875" style="216" customWidth="1"/>
    <col min="11386" max="11387" width="12.7109375" style="216" customWidth="1"/>
    <col min="11388" max="11388" width="14.85546875" style="216" customWidth="1"/>
    <col min="11389" max="11389" width="12.7109375" style="216" customWidth="1"/>
    <col min="11390" max="11404" width="0" style="216" hidden="1" customWidth="1"/>
    <col min="11405" max="11405" width="9.140625" style="216" customWidth="1"/>
    <col min="11406" max="11406" width="12" style="216" customWidth="1"/>
    <col min="11407" max="11407" width="66.28515625" style="216" customWidth="1"/>
    <col min="11408" max="11414" width="0" style="216" hidden="1" customWidth="1"/>
    <col min="11415" max="11415" width="15.140625" style="216" customWidth="1"/>
    <col min="11416" max="11416" width="0" style="216" hidden="1" customWidth="1"/>
    <col min="11417" max="11417" width="16.5703125" style="216" customWidth="1"/>
    <col min="11418" max="11421" width="0" style="216" hidden="1" customWidth="1"/>
    <col min="11422" max="11521" width="9.140625" style="216"/>
    <col min="11522" max="11522" width="0" style="216" hidden="1" customWidth="1"/>
    <col min="11523" max="11523" width="56" style="216" customWidth="1"/>
    <col min="11524" max="11524" width="19" style="216" customWidth="1"/>
    <col min="11525" max="11525" width="6.5703125" style="216" customWidth="1"/>
    <col min="11526" max="11526" width="7.42578125" style="216" customWidth="1"/>
    <col min="11527" max="11550" width="6.5703125" style="216" customWidth="1"/>
    <col min="11551" max="11551" width="6.7109375" style="216" customWidth="1"/>
    <col min="11552" max="11554" width="6.85546875" style="216" customWidth="1"/>
    <col min="11555" max="11555" width="7.28515625" style="216" customWidth="1"/>
    <col min="11556" max="11556" width="7.140625" style="216" customWidth="1"/>
    <col min="11557" max="11557" width="7.42578125" style="216" customWidth="1"/>
    <col min="11558" max="11567" width="6.5703125" style="216" customWidth="1"/>
    <col min="11568" max="11606" width="9.140625" style="216" customWidth="1"/>
    <col min="11607" max="11607" width="68.28515625" style="216" customWidth="1"/>
    <col min="11608" max="11616" width="0" style="216" hidden="1" customWidth="1"/>
    <col min="11617" max="11619" width="14.85546875" style="216" customWidth="1"/>
    <col min="11620" max="11622" width="0" style="216" hidden="1" customWidth="1"/>
    <col min="11623" max="11623" width="12.7109375" style="216" customWidth="1"/>
    <col min="11624" max="11624" width="14.85546875" style="216" customWidth="1"/>
    <col min="11625" max="11625" width="12.7109375" style="216" customWidth="1"/>
    <col min="11626" max="11626" width="12.42578125" style="216" customWidth="1"/>
    <col min="11627" max="11627" width="13.140625" style="216" customWidth="1"/>
    <col min="11628" max="11629" width="12.42578125" style="216" customWidth="1"/>
    <col min="11630" max="11633" width="12.7109375" style="216" customWidth="1"/>
    <col min="11634" max="11634" width="14.85546875" style="216" customWidth="1"/>
    <col min="11635" max="11635" width="12.7109375" style="216" customWidth="1"/>
    <col min="11636" max="11636" width="14.85546875" style="216" customWidth="1"/>
    <col min="11637" max="11640" width="12.7109375" style="216" customWidth="1"/>
    <col min="11641" max="11641" width="14.85546875" style="216" customWidth="1"/>
    <col min="11642" max="11643" width="12.7109375" style="216" customWidth="1"/>
    <col min="11644" max="11644" width="14.85546875" style="216" customWidth="1"/>
    <col min="11645" max="11645" width="12.7109375" style="216" customWidth="1"/>
    <col min="11646" max="11660" width="0" style="216" hidden="1" customWidth="1"/>
    <col min="11661" max="11661" width="9.140625" style="216" customWidth="1"/>
    <col min="11662" max="11662" width="12" style="216" customWidth="1"/>
    <col min="11663" max="11663" width="66.28515625" style="216" customWidth="1"/>
    <col min="11664" max="11670" width="0" style="216" hidden="1" customWidth="1"/>
    <col min="11671" max="11671" width="15.140625" style="216" customWidth="1"/>
    <col min="11672" max="11672" width="0" style="216" hidden="1" customWidth="1"/>
    <col min="11673" max="11673" width="16.5703125" style="216" customWidth="1"/>
    <col min="11674" max="11677" width="0" style="216" hidden="1" customWidth="1"/>
    <col min="11678" max="11777" width="9.140625" style="216"/>
    <col min="11778" max="11778" width="0" style="216" hidden="1" customWidth="1"/>
    <col min="11779" max="11779" width="56" style="216" customWidth="1"/>
    <col min="11780" max="11780" width="19" style="216" customWidth="1"/>
    <col min="11781" max="11781" width="6.5703125" style="216" customWidth="1"/>
    <col min="11782" max="11782" width="7.42578125" style="216" customWidth="1"/>
    <col min="11783" max="11806" width="6.5703125" style="216" customWidth="1"/>
    <col min="11807" max="11807" width="6.7109375" style="216" customWidth="1"/>
    <col min="11808" max="11810" width="6.85546875" style="216" customWidth="1"/>
    <col min="11811" max="11811" width="7.28515625" style="216" customWidth="1"/>
    <col min="11812" max="11812" width="7.140625" style="216" customWidth="1"/>
    <col min="11813" max="11813" width="7.42578125" style="216" customWidth="1"/>
    <col min="11814" max="11823" width="6.5703125" style="216" customWidth="1"/>
    <col min="11824" max="11862" width="9.140625" style="216" customWidth="1"/>
    <col min="11863" max="11863" width="68.28515625" style="216" customWidth="1"/>
    <col min="11864" max="11872" width="0" style="216" hidden="1" customWidth="1"/>
    <col min="11873" max="11875" width="14.85546875" style="216" customWidth="1"/>
    <col min="11876" max="11878" width="0" style="216" hidden="1" customWidth="1"/>
    <col min="11879" max="11879" width="12.7109375" style="216" customWidth="1"/>
    <col min="11880" max="11880" width="14.85546875" style="216" customWidth="1"/>
    <col min="11881" max="11881" width="12.7109375" style="216" customWidth="1"/>
    <col min="11882" max="11882" width="12.42578125" style="216" customWidth="1"/>
    <col min="11883" max="11883" width="13.140625" style="216" customWidth="1"/>
    <col min="11884" max="11885" width="12.42578125" style="216" customWidth="1"/>
    <col min="11886" max="11889" width="12.7109375" style="216" customWidth="1"/>
    <col min="11890" max="11890" width="14.85546875" style="216" customWidth="1"/>
    <col min="11891" max="11891" width="12.7109375" style="216" customWidth="1"/>
    <col min="11892" max="11892" width="14.85546875" style="216" customWidth="1"/>
    <col min="11893" max="11896" width="12.7109375" style="216" customWidth="1"/>
    <col min="11897" max="11897" width="14.85546875" style="216" customWidth="1"/>
    <col min="11898" max="11899" width="12.7109375" style="216" customWidth="1"/>
    <col min="11900" max="11900" width="14.85546875" style="216" customWidth="1"/>
    <col min="11901" max="11901" width="12.7109375" style="216" customWidth="1"/>
    <col min="11902" max="11916" width="0" style="216" hidden="1" customWidth="1"/>
    <col min="11917" max="11917" width="9.140625" style="216" customWidth="1"/>
    <col min="11918" max="11918" width="12" style="216" customWidth="1"/>
    <col min="11919" max="11919" width="66.28515625" style="216" customWidth="1"/>
    <col min="11920" max="11926" width="0" style="216" hidden="1" customWidth="1"/>
    <col min="11927" max="11927" width="15.140625" style="216" customWidth="1"/>
    <col min="11928" max="11928" width="0" style="216" hidden="1" customWidth="1"/>
    <col min="11929" max="11929" width="16.5703125" style="216" customWidth="1"/>
    <col min="11930" max="11933" width="0" style="216" hidden="1" customWidth="1"/>
    <col min="11934" max="12033" width="9.140625" style="216"/>
    <col min="12034" max="12034" width="0" style="216" hidden="1" customWidth="1"/>
    <col min="12035" max="12035" width="56" style="216" customWidth="1"/>
    <col min="12036" max="12036" width="19" style="216" customWidth="1"/>
    <col min="12037" max="12037" width="6.5703125" style="216" customWidth="1"/>
    <col min="12038" max="12038" width="7.42578125" style="216" customWidth="1"/>
    <col min="12039" max="12062" width="6.5703125" style="216" customWidth="1"/>
    <col min="12063" max="12063" width="6.7109375" style="216" customWidth="1"/>
    <col min="12064" max="12066" width="6.85546875" style="216" customWidth="1"/>
    <col min="12067" max="12067" width="7.28515625" style="216" customWidth="1"/>
    <col min="12068" max="12068" width="7.140625" style="216" customWidth="1"/>
    <col min="12069" max="12069" width="7.42578125" style="216" customWidth="1"/>
    <col min="12070" max="12079" width="6.5703125" style="216" customWidth="1"/>
    <col min="12080" max="12118" width="9.140625" style="216" customWidth="1"/>
    <col min="12119" max="12119" width="68.28515625" style="216" customWidth="1"/>
    <col min="12120" max="12128" width="0" style="216" hidden="1" customWidth="1"/>
    <col min="12129" max="12131" width="14.85546875" style="216" customWidth="1"/>
    <col min="12132" max="12134" width="0" style="216" hidden="1" customWidth="1"/>
    <col min="12135" max="12135" width="12.7109375" style="216" customWidth="1"/>
    <col min="12136" max="12136" width="14.85546875" style="216" customWidth="1"/>
    <col min="12137" max="12137" width="12.7109375" style="216" customWidth="1"/>
    <col min="12138" max="12138" width="12.42578125" style="216" customWidth="1"/>
    <col min="12139" max="12139" width="13.140625" style="216" customWidth="1"/>
    <col min="12140" max="12141" width="12.42578125" style="216" customWidth="1"/>
    <col min="12142" max="12145" width="12.7109375" style="216" customWidth="1"/>
    <col min="12146" max="12146" width="14.85546875" style="216" customWidth="1"/>
    <col min="12147" max="12147" width="12.7109375" style="216" customWidth="1"/>
    <col min="12148" max="12148" width="14.85546875" style="216" customWidth="1"/>
    <col min="12149" max="12152" width="12.7109375" style="216" customWidth="1"/>
    <col min="12153" max="12153" width="14.85546875" style="216" customWidth="1"/>
    <col min="12154" max="12155" width="12.7109375" style="216" customWidth="1"/>
    <col min="12156" max="12156" width="14.85546875" style="216" customWidth="1"/>
    <col min="12157" max="12157" width="12.7109375" style="216" customWidth="1"/>
    <col min="12158" max="12172" width="0" style="216" hidden="1" customWidth="1"/>
    <col min="12173" max="12173" width="9.140625" style="216" customWidth="1"/>
    <col min="12174" max="12174" width="12" style="216" customWidth="1"/>
    <col min="12175" max="12175" width="66.28515625" style="216" customWidth="1"/>
    <col min="12176" max="12182" width="0" style="216" hidden="1" customWidth="1"/>
    <col min="12183" max="12183" width="15.140625" style="216" customWidth="1"/>
    <col min="12184" max="12184" width="0" style="216" hidden="1" customWidth="1"/>
    <col min="12185" max="12185" width="16.5703125" style="216" customWidth="1"/>
    <col min="12186" max="12189" width="0" style="216" hidden="1" customWidth="1"/>
    <col min="12190" max="12289" width="9.140625" style="216"/>
    <col min="12290" max="12290" width="0" style="216" hidden="1" customWidth="1"/>
    <col min="12291" max="12291" width="56" style="216" customWidth="1"/>
    <col min="12292" max="12292" width="19" style="216" customWidth="1"/>
    <col min="12293" max="12293" width="6.5703125" style="216" customWidth="1"/>
    <col min="12294" max="12294" width="7.42578125" style="216" customWidth="1"/>
    <col min="12295" max="12318" width="6.5703125" style="216" customWidth="1"/>
    <col min="12319" max="12319" width="6.7109375" style="216" customWidth="1"/>
    <col min="12320" max="12322" width="6.85546875" style="216" customWidth="1"/>
    <col min="12323" max="12323" width="7.28515625" style="216" customWidth="1"/>
    <col min="12324" max="12324" width="7.140625" style="216" customWidth="1"/>
    <col min="12325" max="12325" width="7.42578125" style="216" customWidth="1"/>
    <col min="12326" max="12335" width="6.5703125" style="216" customWidth="1"/>
    <col min="12336" max="12374" width="9.140625" style="216" customWidth="1"/>
    <col min="12375" max="12375" width="68.28515625" style="216" customWidth="1"/>
    <col min="12376" max="12384" width="0" style="216" hidden="1" customWidth="1"/>
    <col min="12385" max="12387" width="14.85546875" style="216" customWidth="1"/>
    <col min="12388" max="12390" width="0" style="216" hidden="1" customWidth="1"/>
    <col min="12391" max="12391" width="12.7109375" style="216" customWidth="1"/>
    <col min="12392" max="12392" width="14.85546875" style="216" customWidth="1"/>
    <col min="12393" max="12393" width="12.7109375" style="216" customWidth="1"/>
    <col min="12394" max="12394" width="12.42578125" style="216" customWidth="1"/>
    <col min="12395" max="12395" width="13.140625" style="216" customWidth="1"/>
    <col min="12396" max="12397" width="12.42578125" style="216" customWidth="1"/>
    <col min="12398" max="12401" width="12.7109375" style="216" customWidth="1"/>
    <col min="12402" max="12402" width="14.85546875" style="216" customWidth="1"/>
    <col min="12403" max="12403" width="12.7109375" style="216" customWidth="1"/>
    <col min="12404" max="12404" width="14.85546875" style="216" customWidth="1"/>
    <col min="12405" max="12408" width="12.7109375" style="216" customWidth="1"/>
    <col min="12409" max="12409" width="14.85546875" style="216" customWidth="1"/>
    <col min="12410" max="12411" width="12.7109375" style="216" customWidth="1"/>
    <col min="12412" max="12412" width="14.85546875" style="216" customWidth="1"/>
    <col min="12413" max="12413" width="12.7109375" style="216" customWidth="1"/>
    <col min="12414" max="12428" width="0" style="216" hidden="1" customWidth="1"/>
    <col min="12429" max="12429" width="9.140625" style="216" customWidth="1"/>
    <col min="12430" max="12430" width="12" style="216" customWidth="1"/>
    <col min="12431" max="12431" width="66.28515625" style="216" customWidth="1"/>
    <col min="12432" max="12438" width="0" style="216" hidden="1" customWidth="1"/>
    <col min="12439" max="12439" width="15.140625" style="216" customWidth="1"/>
    <col min="12440" max="12440" width="0" style="216" hidden="1" customWidth="1"/>
    <col min="12441" max="12441" width="16.5703125" style="216" customWidth="1"/>
    <col min="12442" max="12445" width="0" style="216" hidden="1" customWidth="1"/>
    <col min="12446" max="12545" width="9.140625" style="216"/>
    <col min="12546" max="12546" width="0" style="216" hidden="1" customWidth="1"/>
    <col min="12547" max="12547" width="56" style="216" customWidth="1"/>
    <col min="12548" max="12548" width="19" style="216" customWidth="1"/>
    <col min="12549" max="12549" width="6.5703125" style="216" customWidth="1"/>
    <col min="12550" max="12550" width="7.42578125" style="216" customWidth="1"/>
    <col min="12551" max="12574" width="6.5703125" style="216" customWidth="1"/>
    <col min="12575" max="12575" width="6.7109375" style="216" customWidth="1"/>
    <col min="12576" max="12578" width="6.85546875" style="216" customWidth="1"/>
    <col min="12579" max="12579" width="7.28515625" style="216" customWidth="1"/>
    <col min="12580" max="12580" width="7.140625" style="216" customWidth="1"/>
    <col min="12581" max="12581" width="7.42578125" style="216" customWidth="1"/>
    <col min="12582" max="12591" width="6.5703125" style="216" customWidth="1"/>
    <col min="12592" max="12630" width="9.140625" style="216" customWidth="1"/>
    <col min="12631" max="12631" width="68.28515625" style="216" customWidth="1"/>
    <col min="12632" max="12640" width="0" style="216" hidden="1" customWidth="1"/>
    <col min="12641" max="12643" width="14.85546875" style="216" customWidth="1"/>
    <col min="12644" max="12646" width="0" style="216" hidden="1" customWidth="1"/>
    <col min="12647" max="12647" width="12.7109375" style="216" customWidth="1"/>
    <col min="12648" max="12648" width="14.85546875" style="216" customWidth="1"/>
    <col min="12649" max="12649" width="12.7109375" style="216" customWidth="1"/>
    <col min="12650" max="12650" width="12.42578125" style="216" customWidth="1"/>
    <col min="12651" max="12651" width="13.140625" style="216" customWidth="1"/>
    <col min="12652" max="12653" width="12.42578125" style="216" customWidth="1"/>
    <col min="12654" max="12657" width="12.7109375" style="216" customWidth="1"/>
    <col min="12658" max="12658" width="14.85546875" style="216" customWidth="1"/>
    <col min="12659" max="12659" width="12.7109375" style="216" customWidth="1"/>
    <col min="12660" max="12660" width="14.85546875" style="216" customWidth="1"/>
    <col min="12661" max="12664" width="12.7109375" style="216" customWidth="1"/>
    <col min="12665" max="12665" width="14.85546875" style="216" customWidth="1"/>
    <col min="12666" max="12667" width="12.7109375" style="216" customWidth="1"/>
    <col min="12668" max="12668" width="14.85546875" style="216" customWidth="1"/>
    <col min="12669" max="12669" width="12.7109375" style="216" customWidth="1"/>
    <col min="12670" max="12684" width="0" style="216" hidden="1" customWidth="1"/>
    <col min="12685" max="12685" width="9.140625" style="216" customWidth="1"/>
    <col min="12686" max="12686" width="12" style="216" customWidth="1"/>
    <col min="12687" max="12687" width="66.28515625" style="216" customWidth="1"/>
    <col min="12688" max="12694" width="0" style="216" hidden="1" customWidth="1"/>
    <col min="12695" max="12695" width="15.140625" style="216" customWidth="1"/>
    <col min="12696" max="12696" width="0" style="216" hidden="1" customWidth="1"/>
    <col min="12697" max="12697" width="16.5703125" style="216" customWidth="1"/>
    <col min="12698" max="12701" width="0" style="216" hidden="1" customWidth="1"/>
    <col min="12702" max="12801" width="9.140625" style="216"/>
    <col min="12802" max="12802" width="0" style="216" hidden="1" customWidth="1"/>
    <col min="12803" max="12803" width="56" style="216" customWidth="1"/>
    <col min="12804" max="12804" width="19" style="216" customWidth="1"/>
    <col min="12805" max="12805" width="6.5703125" style="216" customWidth="1"/>
    <col min="12806" max="12806" width="7.42578125" style="216" customWidth="1"/>
    <col min="12807" max="12830" width="6.5703125" style="216" customWidth="1"/>
    <col min="12831" max="12831" width="6.7109375" style="216" customWidth="1"/>
    <col min="12832" max="12834" width="6.85546875" style="216" customWidth="1"/>
    <col min="12835" max="12835" width="7.28515625" style="216" customWidth="1"/>
    <col min="12836" max="12836" width="7.140625" style="216" customWidth="1"/>
    <col min="12837" max="12837" width="7.42578125" style="216" customWidth="1"/>
    <col min="12838" max="12847" width="6.5703125" style="216" customWidth="1"/>
    <col min="12848" max="12886" width="9.140625" style="216" customWidth="1"/>
    <col min="12887" max="12887" width="68.28515625" style="216" customWidth="1"/>
    <col min="12888" max="12896" width="0" style="216" hidden="1" customWidth="1"/>
    <col min="12897" max="12899" width="14.85546875" style="216" customWidth="1"/>
    <col min="12900" max="12902" width="0" style="216" hidden="1" customWidth="1"/>
    <col min="12903" max="12903" width="12.7109375" style="216" customWidth="1"/>
    <col min="12904" max="12904" width="14.85546875" style="216" customWidth="1"/>
    <col min="12905" max="12905" width="12.7109375" style="216" customWidth="1"/>
    <col min="12906" max="12906" width="12.42578125" style="216" customWidth="1"/>
    <col min="12907" max="12907" width="13.140625" style="216" customWidth="1"/>
    <col min="12908" max="12909" width="12.42578125" style="216" customWidth="1"/>
    <col min="12910" max="12913" width="12.7109375" style="216" customWidth="1"/>
    <col min="12914" max="12914" width="14.85546875" style="216" customWidth="1"/>
    <col min="12915" max="12915" width="12.7109375" style="216" customWidth="1"/>
    <col min="12916" max="12916" width="14.85546875" style="216" customWidth="1"/>
    <col min="12917" max="12920" width="12.7109375" style="216" customWidth="1"/>
    <col min="12921" max="12921" width="14.85546875" style="216" customWidth="1"/>
    <col min="12922" max="12923" width="12.7109375" style="216" customWidth="1"/>
    <col min="12924" max="12924" width="14.85546875" style="216" customWidth="1"/>
    <col min="12925" max="12925" width="12.7109375" style="216" customWidth="1"/>
    <col min="12926" max="12940" width="0" style="216" hidden="1" customWidth="1"/>
    <col min="12941" max="12941" width="9.140625" style="216" customWidth="1"/>
    <col min="12942" max="12942" width="12" style="216" customWidth="1"/>
    <col min="12943" max="12943" width="66.28515625" style="216" customWidth="1"/>
    <col min="12944" max="12950" width="0" style="216" hidden="1" customWidth="1"/>
    <col min="12951" max="12951" width="15.140625" style="216" customWidth="1"/>
    <col min="12952" max="12952" width="0" style="216" hidden="1" customWidth="1"/>
    <col min="12953" max="12953" width="16.5703125" style="216" customWidth="1"/>
    <col min="12954" max="12957" width="0" style="216" hidden="1" customWidth="1"/>
    <col min="12958" max="13057" width="9.140625" style="216"/>
    <col min="13058" max="13058" width="0" style="216" hidden="1" customWidth="1"/>
    <col min="13059" max="13059" width="56" style="216" customWidth="1"/>
    <col min="13060" max="13060" width="19" style="216" customWidth="1"/>
    <col min="13061" max="13061" width="6.5703125" style="216" customWidth="1"/>
    <col min="13062" max="13062" width="7.42578125" style="216" customWidth="1"/>
    <col min="13063" max="13086" width="6.5703125" style="216" customWidth="1"/>
    <col min="13087" max="13087" width="6.7109375" style="216" customWidth="1"/>
    <col min="13088" max="13090" width="6.85546875" style="216" customWidth="1"/>
    <col min="13091" max="13091" width="7.28515625" style="216" customWidth="1"/>
    <col min="13092" max="13092" width="7.140625" style="216" customWidth="1"/>
    <col min="13093" max="13093" width="7.42578125" style="216" customWidth="1"/>
    <col min="13094" max="13103" width="6.5703125" style="216" customWidth="1"/>
    <col min="13104" max="13142" width="9.140625" style="216" customWidth="1"/>
    <col min="13143" max="13143" width="68.28515625" style="216" customWidth="1"/>
    <col min="13144" max="13152" width="0" style="216" hidden="1" customWidth="1"/>
    <col min="13153" max="13155" width="14.85546875" style="216" customWidth="1"/>
    <col min="13156" max="13158" width="0" style="216" hidden="1" customWidth="1"/>
    <col min="13159" max="13159" width="12.7109375" style="216" customWidth="1"/>
    <col min="13160" max="13160" width="14.85546875" style="216" customWidth="1"/>
    <col min="13161" max="13161" width="12.7109375" style="216" customWidth="1"/>
    <col min="13162" max="13162" width="12.42578125" style="216" customWidth="1"/>
    <col min="13163" max="13163" width="13.140625" style="216" customWidth="1"/>
    <col min="13164" max="13165" width="12.42578125" style="216" customWidth="1"/>
    <col min="13166" max="13169" width="12.7109375" style="216" customWidth="1"/>
    <col min="13170" max="13170" width="14.85546875" style="216" customWidth="1"/>
    <col min="13171" max="13171" width="12.7109375" style="216" customWidth="1"/>
    <col min="13172" max="13172" width="14.85546875" style="216" customWidth="1"/>
    <col min="13173" max="13176" width="12.7109375" style="216" customWidth="1"/>
    <col min="13177" max="13177" width="14.85546875" style="216" customWidth="1"/>
    <col min="13178" max="13179" width="12.7109375" style="216" customWidth="1"/>
    <col min="13180" max="13180" width="14.85546875" style="216" customWidth="1"/>
    <col min="13181" max="13181" width="12.7109375" style="216" customWidth="1"/>
    <col min="13182" max="13196" width="0" style="216" hidden="1" customWidth="1"/>
    <col min="13197" max="13197" width="9.140625" style="216" customWidth="1"/>
    <col min="13198" max="13198" width="12" style="216" customWidth="1"/>
    <col min="13199" max="13199" width="66.28515625" style="216" customWidth="1"/>
    <col min="13200" max="13206" width="0" style="216" hidden="1" customWidth="1"/>
    <col min="13207" max="13207" width="15.140625" style="216" customWidth="1"/>
    <col min="13208" max="13208" width="0" style="216" hidden="1" customWidth="1"/>
    <col min="13209" max="13209" width="16.5703125" style="216" customWidth="1"/>
    <col min="13210" max="13213" width="0" style="216" hidden="1" customWidth="1"/>
    <col min="13214" max="13313" width="9.140625" style="216"/>
    <col min="13314" max="13314" width="0" style="216" hidden="1" customWidth="1"/>
    <col min="13315" max="13315" width="56" style="216" customWidth="1"/>
    <col min="13316" max="13316" width="19" style="216" customWidth="1"/>
    <col min="13317" max="13317" width="6.5703125" style="216" customWidth="1"/>
    <col min="13318" max="13318" width="7.42578125" style="216" customWidth="1"/>
    <col min="13319" max="13342" width="6.5703125" style="216" customWidth="1"/>
    <col min="13343" max="13343" width="6.7109375" style="216" customWidth="1"/>
    <col min="13344" max="13346" width="6.85546875" style="216" customWidth="1"/>
    <col min="13347" max="13347" width="7.28515625" style="216" customWidth="1"/>
    <col min="13348" max="13348" width="7.140625" style="216" customWidth="1"/>
    <col min="13349" max="13349" width="7.42578125" style="216" customWidth="1"/>
    <col min="13350" max="13359" width="6.5703125" style="216" customWidth="1"/>
    <col min="13360" max="13398" width="9.140625" style="216" customWidth="1"/>
    <col min="13399" max="13399" width="68.28515625" style="216" customWidth="1"/>
    <col min="13400" max="13408" width="0" style="216" hidden="1" customWidth="1"/>
    <col min="13409" max="13411" width="14.85546875" style="216" customWidth="1"/>
    <col min="13412" max="13414" width="0" style="216" hidden="1" customWidth="1"/>
    <col min="13415" max="13415" width="12.7109375" style="216" customWidth="1"/>
    <col min="13416" max="13416" width="14.85546875" style="216" customWidth="1"/>
    <col min="13417" max="13417" width="12.7109375" style="216" customWidth="1"/>
    <col min="13418" max="13418" width="12.42578125" style="216" customWidth="1"/>
    <col min="13419" max="13419" width="13.140625" style="216" customWidth="1"/>
    <col min="13420" max="13421" width="12.42578125" style="216" customWidth="1"/>
    <col min="13422" max="13425" width="12.7109375" style="216" customWidth="1"/>
    <col min="13426" max="13426" width="14.85546875" style="216" customWidth="1"/>
    <col min="13427" max="13427" width="12.7109375" style="216" customWidth="1"/>
    <col min="13428" max="13428" width="14.85546875" style="216" customWidth="1"/>
    <col min="13429" max="13432" width="12.7109375" style="216" customWidth="1"/>
    <col min="13433" max="13433" width="14.85546875" style="216" customWidth="1"/>
    <col min="13434" max="13435" width="12.7109375" style="216" customWidth="1"/>
    <col min="13436" max="13436" width="14.85546875" style="216" customWidth="1"/>
    <col min="13437" max="13437" width="12.7109375" style="216" customWidth="1"/>
    <col min="13438" max="13452" width="0" style="216" hidden="1" customWidth="1"/>
    <col min="13453" max="13453" width="9.140625" style="216" customWidth="1"/>
    <col min="13454" max="13454" width="12" style="216" customWidth="1"/>
    <col min="13455" max="13455" width="66.28515625" style="216" customWidth="1"/>
    <col min="13456" max="13462" width="0" style="216" hidden="1" customWidth="1"/>
    <col min="13463" max="13463" width="15.140625" style="216" customWidth="1"/>
    <col min="13464" max="13464" width="0" style="216" hidden="1" customWidth="1"/>
    <col min="13465" max="13465" width="16.5703125" style="216" customWidth="1"/>
    <col min="13466" max="13469" width="0" style="216" hidden="1" customWidth="1"/>
    <col min="13470" max="13569" width="9.140625" style="216"/>
    <col min="13570" max="13570" width="0" style="216" hidden="1" customWidth="1"/>
    <col min="13571" max="13571" width="56" style="216" customWidth="1"/>
    <col min="13572" max="13572" width="19" style="216" customWidth="1"/>
    <col min="13573" max="13573" width="6.5703125" style="216" customWidth="1"/>
    <col min="13574" max="13574" width="7.42578125" style="216" customWidth="1"/>
    <col min="13575" max="13598" width="6.5703125" style="216" customWidth="1"/>
    <col min="13599" max="13599" width="6.7109375" style="216" customWidth="1"/>
    <col min="13600" max="13602" width="6.85546875" style="216" customWidth="1"/>
    <col min="13603" max="13603" width="7.28515625" style="216" customWidth="1"/>
    <col min="13604" max="13604" width="7.140625" style="216" customWidth="1"/>
    <col min="13605" max="13605" width="7.42578125" style="216" customWidth="1"/>
    <col min="13606" max="13615" width="6.5703125" style="216" customWidth="1"/>
    <col min="13616" max="13654" width="9.140625" style="216" customWidth="1"/>
    <col min="13655" max="13655" width="68.28515625" style="216" customWidth="1"/>
    <col min="13656" max="13664" width="0" style="216" hidden="1" customWidth="1"/>
    <col min="13665" max="13667" width="14.85546875" style="216" customWidth="1"/>
    <col min="13668" max="13670" width="0" style="216" hidden="1" customWidth="1"/>
    <col min="13671" max="13671" width="12.7109375" style="216" customWidth="1"/>
    <col min="13672" max="13672" width="14.85546875" style="216" customWidth="1"/>
    <col min="13673" max="13673" width="12.7109375" style="216" customWidth="1"/>
    <col min="13674" max="13674" width="12.42578125" style="216" customWidth="1"/>
    <col min="13675" max="13675" width="13.140625" style="216" customWidth="1"/>
    <col min="13676" max="13677" width="12.42578125" style="216" customWidth="1"/>
    <col min="13678" max="13681" width="12.7109375" style="216" customWidth="1"/>
    <col min="13682" max="13682" width="14.85546875" style="216" customWidth="1"/>
    <col min="13683" max="13683" width="12.7109375" style="216" customWidth="1"/>
    <col min="13684" max="13684" width="14.85546875" style="216" customWidth="1"/>
    <col min="13685" max="13688" width="12.7109375" style="216" customWidth="1"/>
    <col min="13689" max="13689" width="14.85546875" style="216" customWidth="1"/>
    <col min="13690" max="13691" width="12.7109375" style="216" customWidth="1"/>
    <col min="13692" max="13692" width="14.85546875" style="216" customWidth="1"/>
    <col min="13693" max="13693" width="12.7109375" style="216" customWidth="1"/>
    <col min="13694" max="13708" width="0" style="216" hidden="1" customWidth="1"/>
    <col min="13709" max="13709" width="9.140625" style="216" customWidth="1"/>
    <col min="13710" max="13710" width="12" style="216" customWidth="1"/>
    <col min="13711" max="13711" width="66.28515625" style="216" customWidth="1"/>
    <col min="13712" max="13718" width="0" style="216" hidden="1" customWidth="1"/>
    <col min="13719" max="13719" width="15.140625" style="216" customWidth="1"/>
    <col min="13720" max="13720" width="0" style="216" hidden="1" customWidth="1"/>
    <col min="13721" max="13721" width="16.5703125" style="216" customWidth="1"/>
    <col min="13722" max="13725" width="0" style="216" hidden="1" customWidth="1"/>
    <col min="13726" max="13825" width="9.140625" style="216"/>
    <col min="13826" max="13826" width="0" style="216" hidden="1" customWidth="1"/>
    <col min="13827" max="13827" width="56" style="216" customWidth="1"/>
    <col min="13828" max="13828" width="19" style="216" customWidth="1"/>
    <col min="13829" max="13829" width="6.5703125" style="216" customWidth="1"/>
    <col min="13830" max="13830" width="7.42578125" style="216" customWidth="1"/>
    <col min="13831" max="13854" width="6.5703125" style="216" customWidth="1"/>
    <col min="13855" max="13855" width="6.7109375" style="216" customWidth="1"/>
    <col min="13856" max="13858" width="6.85546875" style="216" customWidth="1"/>
    <col min="13859" max="13859" width="7.28515625" style="216" customWidth="1"/>
    <col min="13860" max="13860" width="7.140625" style="216" customWidth="1"/>
    <col min="13861" max="13861" width="7.42578125" style="216" customWidth="1"/>
    <col min="13862" max="13871" width="6.5703125" style="216" customWidth="1"/>
    <col min="13872" max="13910" width="9.140625" style="216" customWidth="1"/>
    <col min="13911" max="13911" width="68.28515625" style="216" customWidth="1"/>
    <col min="13912" max="13920" width="0" style="216" hidden="1" customWidth="1"/>
    <col min="13921" max="13923" width="14.85546875" style="216" customWidth="1"/>
    <col min="13924" max="13926" width="0" style="216" hidden="1" customWidth="1"/>
    <col min="13927" max="13927" width="12.7109375" style="216" customWidth="1"/>
    <col min="13928" max="13928" width="14.85546875" style="216" customWidth="1"/>
    <col min="13929" max="13929" width="12.7109375" style="216" customWidth="1"/>
    <col min="13930" max="13930" width="12.42578125" style="216" customWidth="1"/>
    <col min="13931" max="13931" width="13.140625" style="216" customWidth="1"/>
    <col min="13932" max="13933" width="12.42578125" style="216" customWidth="1"/>
    <col min="13934" max="13937" width="12.7109375" style="216" customWidth="1"/>
    <col min="13938" max="13938" width="14.85546875" style="216" customWidth="1"/>
    <col min="13939" max="13939" width="12.7109375" style="216" customWidth="1"/>
    <col min="13940" max="13940" width="14.85546875" style="216" customWidth="1"/>
    <col min="13941" max="13944" width="12.7109375" style="216" customWidth="1"/>
    <col min="13945" max="13945" width="14.85546875" style="216" customWidth="1"/>
    <col min="13946" max="13947" width="12.7109375" style="216" customWidth="1"/>
    <col min="13948" max="13948" width="14.85546875" style="216" customWidth="1"/>
    <col min="13949" max="13949" width="12.7109375" style="216" customWidth="1"/>
    <col min="13950" max="13964" width="0" style="216" hidden="1" customWidth="1"/>
    <col min="13965" max="13965" width="9.140625" style="216" customWidth="1"/>
    <col min="13966" max="13966" width="12" style="216" customWidth="1"/>
    <col min="13967" max="13967" width="66.28515625" style="216" customWidth="1"/>
    <col min="13968" max="13974" width="0" style="216" hidden="1" customWidth="1"/>
    <col min="13975" max="13975" width="15.140625" style="216" customWidth="1"/>
    <col min="13976" max="13976" width="0" style="216" hidden="1" customWidth="1"/>
    <col min="13977" max="13977" width="16.5703125" style="216" customWidth="1"/>
    <col min="13978" max="13981" width="0" style="216" hidden="1" customWidth="1"/>
    <col min="13982" max="14081" width="9.140625" style="216"/>
    <col min="14082" max="14082" width="0" style="216" hidden="1" customWidth="1"/>
    <col min="14083" max="14083" width="56" style="216" customWidth="1"/>
    <col min="14084" max="14084" width="19" style="216" customWidth="1"/>
    <col min="14085" max="14085" width="6.5703125" style="216" customWidth="1"/>
    <col min="14086" max="14086" width="7.42578125" style="216" customWidth="1"/>
    <col min="14087" max="14110" width="6.5703125" style="216" customWidth="1"/>
    <col min="14111" max="14111" width="6.7109375" style="216" customWidth="1"/>
    <col min="14112" max="14114" width="6.85546875" style="216" customWidth="1"/>
    <col min="14115" max="14115" width="7.28515625" style="216" customWidth="1"/>
    <col min="14116" max="14116" width="7.140625" style="216" customWidth="1"/>
    <col min="14117" max="14117" width="7.42578125" style="216" customWidth="1"/>
    <col min="14118" max="14127" width="6.5703125" style="216" customWidth="1"/>
    <col min="14128" max="14166" width="9.140625" style="216" customWidth="1"/>
    <col min="14167" max="14167" width="68.28515625" style="216" customWidth="1"/>
    <col min="14168" max="14176" width="0" style="216" hidden="1" customWidth="1"/>
    <col min="14177" max="14179" width="14.85546875" style="216" customWidth="1"/>
    <col min="14180" max="14182" width="0" style="216" hidden="1" customWidth="1"/>
    <col min="14183" max="14183" width="12.7109375" style="216" customWidth="1"/>
    <col min="14184" max="14184" width="14.85546875" style="216" customWidth="1"/>
    <col min="14185" max="14185" width="12.7109375" style="216" customWidth="1"/>
    <col min="14186" max="14186" width="12.42578125" style="216" customWidth="1"/>
    <col min="14187" max="14187" width="13.140625" style="216" customWidth="1"/>
    <col min="14188" max="14189" width="12.42578125" style="216" customWidth="1"/>
    <col min="14190" max="14193" width="12.7109375" style="216" customWidth="1"/>
    <col min="14194" max="14194" width="14.85546875" style="216" customWidth="1"/>
    <col min="14195" max="14195" width="12.7109375" style="216" customWidth="1"/>
    <col min="14196" max="14196" width="14.85546875" style="216" customWidth="1"/>
    <col min="14197" max="14200" width="12.7109375" style="216" customWidth="1"/>
    <col min="14201" max="14201" width="14.85546875" style="216" customWidth="1"/>
    <col min="14202" max="14203" width="12.7109375" style="216" customWidth="1"/>
    <col min="14204" max="14204" width="14.85546875" style="216" customWidth="1"/>
    <col min="14205" max="14205" width="12.7109375" style="216" customWidth="1"/>
    <col min="14206" max="14220" width="0" style="216" hidden="1" customWidth="1"/>
    <col min="14221" max="14221" width="9.140625" style="216" customWidth="1"/>
    <col min="14222" max="14222" width="12" style="216" customWidth="1"/>
    <col min="14223" max="14223" width="66.28515625" style="216" customWidth="1"/>
    <col min="14224" max="14230" width="0" style="216" hidden="1" customWidth="1"/>
    <col min="14231" max="14231" width="15.140625" style="216" customWidth="1"/>
    <col min="14232" max="14232" width="0" style="216" hidden="1" customWidth="1"/>
    <col min="14233" max="14233" width="16.5703125" style="216" customWidth="1"/>
    <col min="14234" max="14237" width="0" style="216" hidden="1" customWidth="1"/>
    <col min="14238" max="14337" width="9.140625" style="216"/>
    <col min="14338" max="14338" width="0" style="216" hidden="1" customWidth="1"/>
    <col min="14339" max="14339" width="56" style="216" customWidth="1"/>
    <col min="14340" max="14340" width="19" style="216" customWidth="1"/>
    <col min="14341" max="14341" width="6.5703125" style="216" customWidth="1"/>
    <col min="14342" max="14342" width="7.42578125" style="216" customWidth="1"/>
    <col min="14343" max="14366" width="6.5703125" style="216" customWidth="1"/>
    <col min="14367" max="14367" width="6.7109375" style="216" customWidth="1"/>
    <col min="14368" max="14370" width="6.85546875" style="216" customWidth="1"/>
    <col min="14371" max="14371" width="7.28515625" style="216" customWidth="1"/>
    <col min="14372" max="14372" width="7.140625" style="216" customWidth="1"/>
    <col min="14373" max="14373" width="7.42578125" style="216" customWidth="1"/>
    <col min="14374" max="14383" width="6.5703125" style="216" customWidth="1"/>
    <col min="14384" max="14422" width="9.140625" style="216" customWidth="1"/>
    <col min="14423" max="14423" width="68.28515625" style="216" customWidth="1"/>
    <col min="14424" max="14432" width="0" style="216" hidden="1" customWidth="1"/>
    <col min="14433" max="14435" width="14.85546875" style="216" customWidth="1"/>
    <col min="14436" max="14438" width="0" style="216" hidden="1" customWidth="1"/>
    <col min="14439" max="14439" width="12.7109375" style="216" customWidth="1"/>
    <col min="14440" max="14440" width="14.85546875" style="216" customWidth="1"/>
    <col min="14441" max="14441" width="12.7109375" style="216" customWidth="1"/>
    <col min="14442" max="14442" width="12.42578125" style="216" customWidth="1"/>
    <col min="14443" max="14443" width="13.140625" style="216" customWidth="1"/>
    <col min="14444" max="14445" width="12.42578125" style="216" customWidth="1"/>
    <col min="14446" max="14449" width="12.7109375" style="216" customWidth="1"/>
    <col min="14450" max="14450" width="14.85546875" style="216" customWidth="1"/>
    <col min="14451" max="14451" width="12.7109375" style="216" customWidth="1"/>
    <col min="14452" max="14452" width="14.85546875" style="216" customWidth="1"/>
    <col min="14453" max="14456" width="12.7109375" style="216" customWidth="1"/>
    <col min="14457" max="14457" width="14.85546875" style="216" customWidth="1"/>
    <col min="14458" max="14459" width="12.7109375" style="216" customWidth="1"/>
    <col min="14460" max="14460" width="14.85546875" style="216" customWidth="1"/>
    <col min="14461" max="14461" width="12.7109375" style="216" customWidth="1"/>
    <col min="14462" max="14476" width="0" style="216" hidden="1" customWidth="1"/>
    <col min="14477" max="14477" width="9.140625" style="216" customWidth="1"/>
    <col min="14478" max="14478" width="12" style="216" customWidth="1"/>
    <col min="14479" max="14479" width="66.28515625" style="216" customWidth="1"/>
    <col min="14480" max="14486" width="0" style="216" hidden="1" customWidth="1"/>
    <col min="14487" max="14487" width="15.140625" style="216" customWidth="1"/>
    <col min="14488" max="14488" width="0" style="216" hidden="1" customWidth="1"/>
    <col min="14489" max="14489" width="16.5703125" style="216" customWidth="1"/>
    <col min="14490" max="14493" width="0" style="216" hidden="1" customWidth="1"/>
    <col min="14494" max="14593" width="9.140625" style="216"/>
    <col min="14594" max="14594" width="0" style="216" hidden="1" customWidth="1"/>
    <col min="14595" max="14595" width="56" style="216" customWidth="1"/>
    <col min="14596" max="14596" width="19" style="216" customWidth="1"/>
    <col min="14597" max="14597" width="6.5703125" style="216" customWidth="1"/>
    <col min="14598" max="14598" width="7.42578125" style="216" customWidth="1"/>
    <col min="14599" max="14622" width="6.5703125" style="216" customWidth="1"/>
    <col min="14623" max="14623" width="6.7109375" style="216" customWidth="1"/>
    <col min="14624" max="14626" width="6.85546875" style="216" customWidth="1"/>
    <col min="14627" max="14627" width="7.28515625" style="216" customWidth="1"/>
    <col min="14628" max="14628" width="7.140625" style="216" customWidth="1"/>
    <col min="14629" max="14629" width="7.42578125" style="216" customWidth="1"/>
    <col min="14630" max="14639" width="6.5703125" style="216" customWidth="1"/>
    <col min="14640" max="14678" width="9.140625" style="216" customWidth="1"/>
    <col min="14679" max="14679" width="68.28515625" style="216" customWidth="1"/>
    <col min="14680" max="14688" width="0" style="216" hidden="1" customWidth="1"/>
    <col min="14689" max="14691" width="14.85546875" style="216" customWidth="1"/>
    <col min="14692" max="14694" width="0" style="216" hidden="1" customWidth="1"/>
    <col min="14695" max="14695" width="12.7109375" style="216" customWidth="1"/>
    <col min="14696" max="14696" width="14.85546875" style="216" customWidth="1"/>
    <col min="14697" max="14697" width="12.7109375" style="216" customWidth="1"/>
    <col min="14698" max="14698" width="12.42578125" style="216" customWidth="1"/>
    <col min="14699" max="14699" width="13.140625" style="216" customWidth="1"/>
    <col min="14700" max="14701" width="12.42578125" style="216" customWidth="1"/>
    <col min="14702" max="14705" width="12.7109375" style="216" customWidth="1"/>
    <col min="14706" max="14706" width="14.85546875" style="216" customWidth="1"/>
    <col min="14707" max="14707" width="12.7109375" style="216" customWidth="1"/>
    <col min="14708" max="14708" width="14.85546875" style="216" customWidth="1"/>
    <col min="14709" max="14712" width="12.7109375" style="216" customWidth="1"/>
    <col min="14713" max="14713" width="14.85546875" style="216" customWidth="1"/>
    <col min="14714" max="14715" width="12.7109375" style="216" customWidth="1"/>
    <col min="14716" max="14716" width="14.85546875" style="216" customWidth="1"/>
    <col min="14717" max="14717" width="12.7109375" style="216" customWidth="1"/>
    <col min="14718" max="14732" width="0" style="216" hidden="1" customWidth="1"/>
    <col min="14733" max="14733" width="9.140625" style="216" customWidth="1"/>
    <col min="14734" max="14734" width="12" style="216" customWidth="1"/>
    <col min="14735" max="14735" width="66.28515625" style="216" customWidth="1"/>
    <col min="14736" max="14742" width="0" style="216" hidden="1" customWidth="1"/>
    <col min="14743" max="14743" width="15.140625" style="216" customWidth="1"/>
    <col min="14744" max="14744" width="0" style="216" hidden="1" customWidth="1"/>
    <col min="14745" max="14745" width="16.5703125" style="216" customWidth="1"/>
    <col min="14746" max="14749" width="0" style="216" hidden="1" customWidth="1"/>
    <col min="14750" max="14849" width="9.140625" style="216"/>
    <col min="14850" max="14850" width="0" style="216" hidden="1" customWidth="1"/>
    <col min="14851" max="14851" width="56" style="216" customWidth="1"/>
    <col min="14852" max="14852" width="19" style="216" customWidth="1"/>
    <col min="14853" max="14853" width="6.5703125" style="216" customWidth="1"/>
    <col min="14854" max="14854" width="7.42578125" style="216" customWidth="1"/>
    <col min="14855" max="14878" width="6.5703125" style="216" customWidth="1"/>
    <col min="14879" max="14879" width="6.7109375" style="216" customWidth="1"/>
    <col min="14880" max="14882" width="6.85546875" style="216" customWidth="1"/>
    <col min="14883" max="14883" width="7.28515625" style="216" customWidth="1"/>
    <col min="14884" max="14884" width="7.140625" style="216" customWidth="1"/>
    <col min="14885" max="14885" width="7.42578125" style="216" customWidth="1"/>
    <col min="14886" max="14895" width="6.5703125" style="216" customWidth="1"/>
    <col min="14896" max="14934" width="9.140625" style="216" customWidth="1"/>
    <col min="14935" max="14935" width="68.28515625" style="216" customWidth="1"/>
    <col min="14936" max="14944" width="0" style="216" hidden="1" customWidth="1"/>
    <col min="14945" max="14947" width="14.85546875" style="216" customWidth="1"/>
    <col min="14948" max="14950" width="0" style="216" hidden="1" customWidth="1"/>
    <col min="14951" max="14951" width="12.7109375" style="216" customWidth="1"/>
    <col min="14952" max="14952" width="14.85546875" style="216" customWidth="1"/>
    <col min="14953" max="14953" width="12.7109375" style="216" customWidth="1"/>
    <col min="14954" max="14954" width="12.42578125" style="216" customWidth="1"/>
    <col min="14955" max="14955" width="13.140625" style="216" customWidth="1"/>
    <col min="14956" max="14957" width="12.42578125" style="216" customWidth="1"/>
    <col min="14958" max="14961" width="12.7109375" style="216" customWidth="1"/>
    <col min="14962" max="14962" width="14.85546875" style="216" customWidth="1"/>
    <col min="14963" max="14963" width="12.7109375" style="216" customWidth="1"/>
    <col min="14964" max="14964" width="14.85546875" style="216" customWidth="1"/>
    <col min="14965" max="14968" width="12.7109375" style="216" customWidth="1"/>
    <col min="14969" max="14969" width="14.85546875" style="216" customWidth="1"/>
    <col min="14970" max="14971" width="12.7109375" style="216" customWidth="1"/>
    <col min="14972" max="14972" width="14.85546875" style="216" customWidth="1"/>
    <col min="14973" max="14973" width="12.7109375" style="216" customWidth="1"/>
    <col min="14974" max="14988" width="0" style="216" hidden="1" customWidth="1"/>
    <col min="14989" max="14989" width="9.140625" style="216" customWidth="1"/>
    <col min="14990" max="14990" width="12" style="216" customWidth="1"/>
    <col min="14991" max="14991" width="66.28515625" style="216" customWidth="1"/>
    <col min="14992" max="14998" width="0" style="216" hidden="1" customWidth="1"/>
    <col min="14999" max="14999" width="15.140625" style="216" customWidth="1"/>
    <col min="15000" max="15000" width="0" style="216" hidden="1" customWidth="1"/>
    <col min="15001" max="15001" width="16.5703125" style="216" customWidth="1"/>
    <col min="15002" max="15005" width="0" style="216" hidden="1" customWidth="1"/>
    <col min="15006" max="15105" width="9.140625" style="216"/>
    <col min="15106" max="15106" width="0" style="216" hidden="1" customWidth="1"/>
    <col min="15107" max="15107" width="56" style="216" customWidth="1"/>
    <col min="15108" max="15108" width="19" style="216" customWidth="1"/>
    <col min="15109" max="15109" width="6.5703125" style="216" customWidth="1"/>
    <col min="15110" max="15110" width="7.42578125" style="216" customWidth="1"/>
    <col min="15111" max="15134" width="6.5703125" style="216" customWidth="1"/>
    <col min="15135" max="15135" width="6.7109375" style="216" customWidth="1"/>
    <col min="15136" max="15138" width="6.85546875" style="216" customWidth="1"/>
    <col min="15139" max="15139" width="7.28515625" style="216" customWidth="1"/>
    <col min="15140" max="15140" width="7.140625" style="216" customWidth="1"/>
    <col min="15141" max="15141" width="7.42578125" style="216" customWidth="1"/>
    <col min="15142" max="15151" width="6.5703125" style="216" customWidth="1"/>
    <col min="15152" max="15190" width="9.140625" style="216" customWidth="1"/>
    <col min="15191" max="15191" width="68.28515625" style="216" customWidth="1"/>
    <col min="15192" max="15200" width="0" style="216" hidden="1" customWidth="1"/>
    <col min="15201" max="15203" width="14.85546875" style="216" customWidth="1"/>
    <col min="15204" max="15206" width="0" style="216" hidden="1" customWidth="1"/>
    <col min="15207" max="15207" width="12.7109375" style="216" customWidth="1"/>
    <col min="15208" max="15208" width="14.85546875" style="216" customWidth="1"/>
    <col min="15209" max="15209" width="12.7109375" style="216" customWidth="1"/>
    <col min="15210" max="15210" width="12.42578125" style="216" customWidth="1"/>
    <col min="15211" max="15211" width="13.140625" style="216" customWidth="1"/>
    <col min="15212" max="15213" width="12.42578125" style="216" customWidth="1"/>
    <col min="15214" max="15217" width="12.7109375" style="216" customWidth="1"/>
    <col min="15218" max="15218" width="14.85546875" style="216" customWidth="1"/>
    <col min="15219" max="15219" width="12.7109375" style="216" customWidth="1"/>
    <col min="15220" max="15220" width="14.85546875" style="216" customWidth="1"/>
    <col min="15221" max="15224" width="12.7109375" style="216" customWidth="1"/>
    <col min="15225" max="15225" width="14.85546875" style="216" customWidth="1"/>
    <col min="15226" max="15227" width="12.7109375" style="216" customWidth="1"/>
    <col min="15228" max="15228" width="14.85546875" style="216" customWidth="1"/>
    <col min="15229" max="15229" width="12.7109375" style="216" customWidth="1"/>
    <col min="15230" max="15244" width="0" style="216" hidden="1" customWidth="1"/>
    <col min="15245" max="15245" width="9.140625" style="216" customWidth="1"/>
    <col min="15246" max="15246" width="12" style="216" customWidth="1"/>
    <col min="15247" max="15247" width="66.28515625" style="216" customWidth="1"/>
    <col min="15248" max="15254" width="0" style="216" hidden="1" customWidth="1"/>
    <col min="15255" max="15255" width="15.140625" style="216" customWidth="1"/>
    <col min="15256" max="15256" width="0" style="216" hidden="1" customWidth="1"/>
    <col min="15257" max="15257" width="16.5703125" style="216" customWidth="1"/>
    <col min="15258" max="15261" width="0" style="216" hidden="1" customWidth="1"/>
    <col min="15262" max="15361" width="9.140625" style="216"/>
    <col min="15362" max="15362" width="0" style="216" hidden="1" customWidth="1"/>
    <col min="15363" max="15363" width="56" style="216" customWidth="1"/>
    <col min="15364" max="15364" width="19" style="216" customWidth="1"/>
    <col min="15365" max="15365" width="6.5703125" style="216" customWidth="1"/>
    <col min="15366" max="15366" width="7.42578125" style="216" customWidth="1"/>
    <col min="15367" max="15390" width="6.5703125" style="216" customWidth="1"/>
    <col min="15391" max="15391" width="6.7109375" style="216" customWidth="1"/>
    <col min="15392" max="15394" width="6.85546875" style="216" customWidth="1"/>
    <col min="15395" max="15395" width="7.28515625" style="216" customWidth="1"/>
    <col min="15396" max="15396" width="7.140625" style="216" customWidth="1"/>
    <col min="15397" max="15397" width="7.42578125" style="216" customWidth="1"/>
    <col min="15398" max="15407" width="6.5703125" style="216" customWidth="1"/>
    <col min="15408" max="15446" width="9.140625" style="216" customWidth="1"/>
    <col min="15447" max="15447" width="68.28515625" style="216" customWidth="1"/>
    <col min="15448" max="15456" width="0" style="216" hidden="1" customWidth="1"/>
    <col min="15457" max="15459" width="14.85546875" style="216" customWidth="1"/>
    <col min="15460" max="15462" width="0" style="216" hidden="1" customWidth="1"/>
    <col min="15463" max="15463" width="12.7109375" style="216" customWidth="1"/>
    <col min="15464" max="15464" width="14.85546875" style="216" customWidth="1"/>
    <col min="15465" max="15465" width="12.7109375" style="216" customWidth="1"/>
    <col min="15466" max="15466" width="12.42578125" style="216" customWidth="1"/>
    <col min="15467" max="15467" width="13.140625" style="216" customWidth="1"/>
    <col min="15468" max="15469" width="12.42578125" style="216" customWidth="1"/>
    <col min="15470" max="15473" width="12.7109375" style="216" customWidth="1"/>
    <col min="15474" max="15474" width="14.85546875" style="216" customWidth="1"/>
    <col min="15475" max="15475" width="12.7109375" style="216" customWidth="1"/>
    <col min="15476" max="15476" width="14.85546875" style="216" customWidth="1"/>
    <col min="15477" max="15480" width="12.7109375" style="216" customWidth="1"/>
    <col min="15481" max="15481" width="14.85546875" style="216" customWidth="1"/>
    <col min="15482" max="15483" width="12.7109375" style="216" customWidth="1"/>
    <col min="15484" max="15484" width="14.85546875" style="216" customWidth="1"/>
    <col min="15485" max="15485" width="12.7109375" style="216" customWidth="1"/>
    <col min="15486" max="15500" width="0" style="216" hidden="1" customWidth="1"/>
    <col min="15501" max="15501" width="9.140625" style="216" customWidth="1"/>
    <col min="15502" max="15502" width="12" style="216" customWidth="1"/>
    <col min="15503" max="15503" width="66.28515625" style="216" customWidth="1"/>
    <col min="15504" max="15510" width="0" style="216" hidden="1" customWidth="1"/>
    <col min="15511" max="15511" width="15.140625" style="216" customWidth="1"/>
    <col min="15512" max="15512" width="0" style="216" hidden="1" customWidth="1"/>
    <col min="15513" max="15513" width="16.5703125" style="216" customWidth="1"/>
    <col min="15514" max="15517" width="0" style="216" hidden="1" customWidth="1"/>
    <col min="15518" max="15617" width="9.140625" style="216"/>
    <col min="15618" max="15618" width="0" style="216" hidden="1" customWidth="1"/>
    <col min="15619" max="15619" width="56" style="216" customWidth="1"/>
    <col min="15620" max="15620" width="19" style="216" customWidth="1"/>
    <col min="15621" max="15621" width="6.5703125" style="216" customWidth="1"/>
    <col min="15622" max="15622" width="7.42578125" style="216" customWidth="1"/>
    <col min="15623" max="15646" width="6.5703125" style="216" customWidth="1"/>
    <col min="15647" max="15647" width="6.7109375" style="216" customWidth="1"/>
    <col min="15648" max="15650" width="6.85546875" style="216" customWidth="1"/>
    <col min="15651" max="15651" width="7.28515625" style="216" customWidth="1"/>
    <col min="15652" max="15652" width="7.140625" style="216" customWidth="1"/>
    <col min="15653" max="15653" width="7.42578125" style="216" customWidth="1"/>
    <col min="15654" max="15663" width="6.5703125" style="216" customWidth="1"/>
    <col min="15664" max="15702" width="9.140625" style="216" customWidth="1"/>
    <col min="15703" max="15703" width="68.28515625" style="216" customWidth="1"/>
    <col min="15704" max="15712" width="0" style="216" hidden="1" customWidth="1"/>
    <col min="15713" max="15715" width="14.85546875" style="216" customWidth="1"/>
    <col min="15716" max="15718" width="0" style="216" hidden="1" customWidth="1"/>
    <col min="15719" max="15719" width="12.7109375" style="216" customWidth="1"/>
    <col min="15720" max="15720" width="14.85546875" style="216" customWidth="1"/>
    <col min="15721" max="15721" width="12.7109375" style="216" customWidth="1"/>
    <col min="15722" max="15722" width="12.42578125" style="216" customWidth="1"/>
    <col min="15723" max="15723" width="13.140625" style="216" customWidth="1"/>
    <col min="15724" max="15725" width="12.42578125" style="216" customWidth="1"/>
    <col min="15726" max="15729" width="12.7109375" style="216" customWidth="1"/>
    <col min="15730" max="15730" width="14.85546875" style="216" customWidth="1"/>
    <col min="15731" max="15731" width="12.7109375" style="216" customWidth="1"/>
    <col min="15732" max="15732" width="14.85546875" style="216" customWidth="1"/>
    <col min="15733" max="15736" width="12.7109375" style="216" customWidth="1"/>
    <col min="15737" max="15737" width="14.85546875" style="216" customWidth="1"/>
    <col min="15738" max="15739" width="12.7109375" style="216" customWidth="1"/>
    <col min="15740" max="15740" width="14.85546875" style="216" customWidth="1"/>
    <col min="15741" max="15741" width="12.7109375" style="216" customWidth="1"/>
    <col min="15742" max="15756" width="0" style="216" hidden="1" customWidth="1"/>
    <col min="15757" max="15757" width="9.140625" style="216" customWidth="1"/>
    <col min="15758" max="15758" width="12" style="216" customWidth="1"/>
    <col min="15759" max="15759" width="66.28515625" style="216" customWidth="1"/>
    <col min="15760" max="15766" width="0" style="216" hidden="1" customWidth="1"/>
    <col min="15767" max="15767" width="15.140625" style="216" customWidth="1"/>
    <col min="15768" max="15768" width="0" style="216" hidden="1" customWidth="1"/>
    <col min="15769" max="15769" width="16.5703125" style="216" customWidth="1"/>
    <col min="15770" max="15773" width="0" style="216" hidden="1" customWidth="1"/>
    <col min="15774" max="15873" width="9.140625" style="216"/>
    <col min="15874" max="15874" width="0" style="216" hidden="1" customWidth="1"/>
    <col min="15875" max="15875" width="56" style="216" customWidth="1"/>
    <col min="15876" max="15876" width="19" style="216" customWidth="1"/>
    <col min="15877" max="15877" width="6.5703125" style="216" customWidth="1"/>
    <col min="15878" max="15878" width="7.42578125" style="216" customWidth="1"/>
    <col min="15879" max="15902" width="6.5703125" style="216" customWidth="1"/>
    <col min="15903" max="15903" width="6.7109375" style="216" customWidth="1"/>
    <col min="15904" max="15906" width="6.85546875" style="216" customWidth="1"/>
    <col min="15907" max="15907" width="7.28515625" style="216" customWidth="1"/>
    <col min="15908" max="15908" width="7.140625" style="216" customWidth="1"/>
    <col min="15909" max="15909" width="7.42578125" style="216" customWidth="1"/>
    <col min="15910" max="15919" width="6.5703125" style="216" customWidth="1"/>
    <col min="15920" max="15958" width="9.140625" style="216" customWidth="1"/>
    <col min="15959" max="15959" width="68.28515625" style="216" customWidth="1"/>
    <col min="15960" max="15968" width="0" style="216" hidden="1" customWidth="1"/>
    <col min="15969" max="15971" width="14.85546875" style="216" customWidth="1"/>
    <col min="15972" max="15974" width="0" style="216" hidden="1" customWidth="1"/>
    <col min="15975" max="15975" width="12.7109375" style="216" customWidth="1"/>
    <col min="15976" max="15976" width="14.85546875" style="216" customWidth="1"/>
    <col min="15977" max="15977" width="12.7109375" style="216" customWidth="1"/>
    <col min="15978" max="15978" width="12.42578125" style="216" customWidth="1"/>
    <col min="15979" max="15979" width="13.140625" style="216" customWidth="1"/>
    <col min="15980" max="15981" width="12.42578125" style="216" customWidth="1"/>
    <col min="15982" max="15985" width="12.7109375" style="216" customWidth="1"/>
    <col min="15986" max="15986" width="14.85546875" style="216" customWidth="1"/>
    <col min="15987" max="15987" width="12.7109375" style="216" customWidth="1"/>
    <col min="15988" max="15988" width="14.85546875" style="216" customWidth="1"/>
    <col min="15989" max="15992" width="12.7109375" style="216" customWidth="1"/>
    <col min="15993" max="15993" width="14.85546875" style="216" customWidth="1"/>
    <col min="15994" max="15995" width="12.7109375" style="216" customWidth="1"/>
    <col min="15996" max="15996" width="14.85546875" style="216" customWidth="1"/>
    <col min="15997" max="15997" width="12.7109375" style="216" customWidth="1"/>
    <col min="15998" max="16012" width="0" style="216" hidden="1" customWidth="1"/>
    <col min="16013" max="16013" width="9.140625" style="216" customWidth="1"/>
    <col min="16014" max="16014" width="12" style="216" customWidth="1"/>
    <col min="16015" max="16015" width="66.28515625" style="216" customWidth="1"/>
    <col min="16016" max="16022" width="0" style="216" hidden="1" customWidth="1"/>
    <col min="16023" max="16023" width="15.140625" style="216" customWidth="1"/>
    <col min="16024" max="16024" width="0" style="216" hidden="1" customWidth="1"/>
    <col min="16025" max="16025" width="16.5703125" style="216" customWidth="1"/>
    <col min="16026" max="16029" width="0" style="216" hidden="1" customWidth="1"/>
    <col min="16030" max="16129" width="9.140625" style="216"/>
    <col min="16130" max="16130" width="0" style="216" hidden="1" customWidth="1"/>
    <col min="16131" max="16131" width="56" style="216" customWidth="1"/>
    <col min="16132" max="16132" width="19" style="216" customWidth="1"/>
    <col min="16133" max="16133" width="6.5703125" style="216" customWidth="1"/>
    <col min="16134" max="16134" width="7.42578125" style="216" customWidth="1"/>
    <col min="16135" max="16158" width="6.5703125" style="216" customWidth="1"/>
    <col min="16159" max="16159" width="6.7109375" style="216" customWidth="1"/>
    <col min="16160" max="16162" width="6.85546875" style="216" customWidth="1"/>
    <col min="16163" max="16163" width="7.28515625" style="216" customWidth="1"/>
    <col min="16164" max="16164" width="7.140625" style="216" customWidth="1"/>
    <col min="16165" max="16165" width="7.42578125" style="216" customWidth="1"/>
    <col min="16166" max="16175" width="6.5703125" style="216" customWidth="1"/>
    <col min="16176" max="16214" width="9.140625" style="216" customWidth="1"/>
    <col min="16215" max="16215" width="68.28515625" style="216" customWidth="1"/>
    <col min="16216" max="16224" width="0" style="216" hidden="1" customWidth="1"/>
    <col min="16225" max="16227" width="14.85546875" style="216" customWidth="1"/>
    <col min="16228" max="16230" width="0" style="216" hidden="1" customWidth="1"/>
    <col min="16231" max="16231" width="12.7109375" style="216" customWidth="1"/>
    <col min="16232" max="16232" width="14.85546875" style="216" customWidth="1"/>
    <col min="16233" max="16233" width="12.7109375" style="216" customWidth="1"/>
    <col min="16234" max="16234" width="12.42578125" style="216" customWidth="1"/>
    <col min="16235" max="16235" width="13.140625" style="216" customWidth="1"/>
    <col min="16236" max="16237" width="12.42578125" style="216" customWidth="1"/>
    <col min="16238" max="16241" width="12.7109375" style="216" customWidth="1"/>
    <col min="16242" max="16242" width="14.85546875" style="216" customWidth="1"/>
    <col min="16243" max="16243" width="12.7109375" style="216" customWidth="1"/>
    <col min="16244" max="16244" width="14.85546875" style="216" customWidth="1"/>
    <col min="16245" max="16248" width="12.7109375" style="216" customWidth="1"/>
    <col min="16249" max="16249" width="14.85546875" style="216" customWidth="1"/>
    <col min="16250" max="16251" width="12.7109375" style="216" customWidth="1"/>
    <col min="16252" max="16252" width="14.85546875" style="216" customWidth="1"/>
    <col min="16253" max="16253" width="12.7109375" style="216" customWidth="1"/>
    <col min="16254" max="16268" width="0" style="216" hidden="1" customWidth="1"/>
    <col min="16269" max="16269" width="9.140625" style="216" customWidth="1"/>
    <col min="16270" max="16270" width="12" style="216" customWidth="1"/>
    <col min="16271" max="16271" width="66.28515625" style="216" customWidth="1"/>
    <col min="16272" max="16278" width="0" style="216" hidden="1" customWidth="1"/>
    <col min="16279" max="16279" width="15.140625" style="216" customWidth="1"/>
    <col min="16280" max="16280" width="0" style="216" hidden="1" customWidth="1"/>
    <col min="16281" max="16281" width="16.5703125" style="216" customWidth="1"/>
    <col min="16282" max="16285" width="0" style="216" hidden="1" customWidth="1"/>
    <col min="16286" max="16384" width="9.140625" style="216"/>
  </cols>
  <sheetData>
    <row r="1" spans="1:48" ht="30" customHeight="1">
      <c r="G1" s="215"/>
      <c r="N1" s="217"/>
    </row>
    <row r="2" spans="1:48" ht="64.5" customHeight="1">
      <c r="B2" s="263" t="s">
        <v>253</v>
      </c>
      <c r="C2" s="263"/>
      <c r="D2" s="264"/>
      <c r="E2" s="264"/>
      <c r="F2" s="264"/>
      <c r="G2" s="264"/>
    </row>
    <row r="3" spans="1:48" ht="40.5" customHeight="1">
      <c r="B3" s="218" t="s">
        <v>254</v>
      </c>
      <c r="C3" s="219"/>
      <c r="D3" s="219"/>
      <c r="E3" s="219"/>
      <c r="F3" s="219"/>
      <c r="G3" s="219"/>
      <c r="Q3" s="220"/>
    </row>
    <row r="4" spans="1:48" ht="180.75" customHeight="1">
      <c r="B4" s="221" t="s">
        <v>255</v>
      </c>
      <c r="C4" s="222" t="s">
        <v>256</v>
      </c>
      <c r="D4" s="223" t="s">
        <v>8</v>
      </c>
      <c r="E4" s="223" t="s">
        <v>257</v>
      </c>
      <c r="F4" s="223" t="s">
        <v>26</v>
      </c>
      <c r="G4" s="223" t="s">
        <v>239</v>
      </c>
      <c r="H4" s="223" t="s">
        <v>30</v>
      </c>
      <c r="I4" s="223" t="s">
        <v>133</v>
      </c>
      <c r="J4" s="223" t="s">
        <v>135</v>
      </c>
      <c r="K4" s="223" t="s">
        <v>36</v>
      </c>
      <c r="L4" s="223" t="s">
        <v>38</v>
      </c>
      <c r="M4" s="223" t="s">
        <v>40</v>
      </c>
      <c r="N4" s="223" t="s">
        <v>42</v>
      </c>
      <c r="O4" s="223" t="s">
        <v>44</v>
      </c>
      <c r="P4" s="223" t="s">
        <v>46</v>
      </c>
      <c r="Q4" s="223" t="s">
        <v>137</v>
      </c>
      <c r="R4" s="223" t="s">
        <v>240</v>
      </c>
      <c r="S4" s="223" t="s">
        <v>139</v>
      </c>
      <c r="T4" s="223" t="s">
        <v>54</v>
      </c>
      <c r="U4" s="223" t="s">
        <v>56</v>
      </c>
      <c r="V4" s="223" t="s">
        <v>141</v>
      </c>
      <c r="W4" s="223" t="s">
        <v>60</v>
      </c>
      <c r="X4" s="223" t="s">
        <v>143</v>
      </c>
      <c r="Y4" s="223" t="s">
        <v>145</v>
      </c>
      <c r="Z4" s="223" t="s">
        <v>147</v>
      </c>
      <c r="AA4" s="223" t="s">
        <v>149</v>
      </c>
      <c r="AB4" s="223" t="s">
        <v>151</v>
      </c>
      <c r="AC4" s="223" t="s">
        <v>153</v>
      </c>
      <c r="AD4" s="223" t="s">
        <v>258</v>
      </c>
      <c r="AE4" s="223" t="s">
        <v>259</v>
      </c>
      <c r="AF4" s="223" t="s">
        <v>260</v>
      </c>
      <c r="AG4" s="223" t="s">
        <v>261</v>
      </c>
      <c r="AH4" s="223" t="s">
        <v>262</v>
      </c>
      <c r="AI4" s="223" t="s">
        <v>263</v>
      </c>
      <c r="AJ4" s="223" t="s">
        <v>179</v>
      </c>
      <c r="AK4" s="223" t="s">
        <v>264</v>
      </c>
      <c r="AL4" s="223" t="s">
        <v>265</v>
      </c>
      <c r="AM4" s="223" t="s">
        <v>266</v>
      </c>
      <c r="AN4" s="223" t="s">
        <v>267</v>
      </c>
      <c r="AO4" s="224" t="s">
        <v>268</v>
      </c>
      <c r="AP4" s="224" t="s">
        <v>269</v>
      </c>
      <c r="AQ4" s="224" t="s">
        <v>167</v>
      </c>
      <c r="AR4" s="224" t="s">
        <v>169</v>
      </c>
      <c r="AS4" s="224" t="s">
        <v>102</v>
      </c>
      <c r="AT4" s="224" t="s">
        <v>171</v>
      </c>
      <c r="AU4" s="224" t="s">
        <v>173</v>
      </c>
    </row>
    <row r="5" spans="1:48" s="225" customFormat="1" ht="30" customHeight="1">
      <c r="B5" s="226" t="s">
        <v>270</v>
      </c>
      <c r="C5" s="227" t="s">
        <v>189</v>
      </c>
      <c r="D5" s="227" t="s">
        <v>189</v>
      </c>
      <c r="E5" s="227" t="s">
        <v>189</v>
      </c>
      <c r="F5" s="227" t="s">
        <v>189</v>
      </c>
      <c r="G5" s="227" t="s">
        <v>189</v>
      </c>
      <c r="H5" s="227" t="s">
        <v>189</v>
      </c>
      <c r="I5" s="227" t="s">
        <v>189</v>
      </c>
      <c r="J5" s="227" t="s">
        <v>189</v>
      </c>
      <c r="K5" s="227" t="s">
        <v>189</v>
      </c>
      <c r="L5" s="227" t="s">
        <v>189</v>
      </c>
      <c r="M5" s="227" t="s">
        <v>189</v>
      </c>
      <c r="N5" s="227" t="s">
        <v>189</v>
      </c>
      <c r="O5" s="227" t="s">
        <v>189</v>
      </c>
      <c r="P5" s="227" t="s">
        <v>189</v>
      </c>
      <c r="Q5" s="227" t="s">
        <v>189</v>
      </c>
      <c r="R5" s="227" t="s">
        <v>189</v>
      </c>
      <c r="S5" s="227" t="s">
        <v>189</v>
      </c>
      <c r="T5" s="227" t="s">
        <v>189</v>
      </c>
      <c r="U5" s="227" t="s">
        <v>189</v>
      </c>
      <c r="V5" s="227" t="s">
        <v>189</v>
      </c>
      <c r="W5" s="227" t="s">
        <v>189</v>
      </c>
      <c r="X5" s="227" t="s">
        <v>189</v>
      </c>
      <c r="Y5" s="227" t="s">
        <v>189</v>
      </c>
      <c r="Z5" s="227" t="s">
        <v>189</v>
      </c>
      <c r="AA5" s="227" t="s">
        <v>189</v>
      </c>
      <c r="AB5" s="227" t="s">
        <v>189</v>
      </c>
      <c r="AC5" s="227" t="s">
        <v>189</v>
      </c>
      <c r="AD5" s="227" t="s">
        <v>189</v>
      </c>
      <c r="AE5" s="227" t="s">
        <v>189</v>
      </c>
      <c r="AF5" s="227" t="s">
        <v>189</v>
      </c>
      <c r="AG5" s="227" t="s">
        <v>189</v>
      </c>
      <c r="AH5" s="227" t="s">
        <v>189</v>
      </c>
      <c r="AI5" s="227" t="s">
        <v>189</v>
      </c>
      <c r="AJ5" s="227" t="s">
        <v>189</v>
      </c>
      <c r="AK5" s="227" t="s">
        <v>189</v>
      </c>
      <c r="AL5" s="227" t="s">
        <v>189</v>
      </c>
      <c r="AM5" s="227" t="s">
        <v>189</v>
      </c>
      <c r="AN5" s="227" t="s">
        <v>189</v>
      </c>
      <c r="AO5" s="227" t="s">
        <v>189</v>
      </c>
      <c r="AP5" s="227" t="s">
        <v>189</v>
      </c>
      <c r="AQ5" s="227" t="s">
        <v>189</v>
      </c>
      <c r="AR5" s="227" t="s">
        <v>189</v>
      </c>
      <c r="AS5" s="227" t="s">
        <v>189</v>
      </c>
      <c r="AT5" s="227" t="s">
        <v>189</v>
      </c>
      <c r="AU5" s="227" t="s">
        <v>189</v>
      </c>
    </row>
    <row r="6" spans="1:48" ht="30" customHeight="1">
      <c r="B6" s="228" t="s">
        <v>8</v>
      </c>
      <c r="C6" s="229">
        <v>1394</v>
      </c>
      <c r="D6" s="230">
        <v>1394</v>
      </c>
      <c r="E6" s="230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2"/>
    </row>
    <row r="7" spans="1:48" s="234" customFormat="1" ht="18.75" customHeight="1">
      <c r="A7" s="233"/>
      <c r="B7" s="228" t="s">
        <v>129</v>
      </c>
      <c r="C7" s="229">
        <v>208</v>
      </c>
      <c r="D7" s="230"/>
      <c r="E7" s="230">
        <v>208</v>
      </c>
      <c r="F7" s="230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2"/>
    </row>
    <row r="8" spans="1:48" s="234" customFormat="1" ht="18.75" customHeight="1">
      <c r="A8" s="233"/>
      <c r="B8" s="228" t="s">
        <v>26</v>
      </c>
      <c r="C8" s="229">
        <v>511</v>
      </c>
      <c r="D8" s="230"/>
      <c r="E8" s="230"/>
      <c r="F8" s="230">
        <v>511</v>
      </c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2"/>
    </row>
    <row r="9" spans="1:48" s="236" customFormat="1" ht="18.75" customHeight="1">
      <c r="A9" s="235"/>
      <c r="B9" s="228" t="s">
        <v>239</v>
      </c>
      <c r="C9" s="229">
        <v>873</v>
      </c>
      <c r="D9" s="230"/>
      <c r="E9" s="230"/>
      <c r="F9" s="230"/>
      <c r="G9" s="231">
        <v>873</v>
      </c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2"/>
    </row>
    <row r="10" spans="1:48" ht="18.75" customHeight="1">
      <c r="B10" s="228" t="s">
        <v>30</v>
      </c>
      <c r="C10" s="229">
        <v>379</v>
      </c>
      <c r="D10" s="230"/>
      <c r="E10" s="230"/>
      <c r="F10" s="230"/>
      <c r="G10" s="231"/>
      <c r="H10" s="231">
        <v>379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2"/>
    </row>
    <row r="11" spans="1:48" ht="18.75" customHeight="1">
      <c r="B11" s="228" t="s">
        <v>133</v>
      </c>
      <c r="C11" s="229">
        <v>4848</v>
      </c>
      <c r="D11" s="230"/>
      <c r="E11" s="230"/>
      <c r="F11" s="230"/>
      <c r="G11" s="231"/>
      <c r="H11" s="231"/>
      <c r="I11" s="231">
        <v>4348</v>
      </c>
      <c r="J11" s="231"/>
      <c r="K11" s="231"/>
      <c r="L11" s="231"/>
      <c r="M11" s="231"/>
      <c r="N11" s="231"/>
      <c r="O11" s="231"/>
      <c r="P11" s="231"/>
      <c r="Q11" s="231"/>
      <c r="R11" s="231"/>
      <c r="S11" s="231">
        <v>500</v>
      </c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2"/>
    </row>
    <row r="12" spans="1:48" ht="18.75" customHeight="1">
      <c r="B12" s="228" t="s">
        <v>135</v>
      </c>
      <c r="C12" s="229">
        <v>757</v>
      </c>
      <c r="D12" s="230"/>
      <c r="E12" s="230"/>
      <c r="F12" s="230"/>
      <c r="G12" s="231"/>
      <c r="H12" s="231"/>
      <c r="I12" s="231"/>
      <c r="J12" s="231">
        <v>757</v>
      </c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2"/>
    </row>
    <row r="13" spans="1:48" ht="18.75" customHeight="1">
      <c r="B13" s="228" t="s">
        <v>36</v>
      </c>
      <c r="C13" s="229">
        <v>27</v>
      </c>
      <c r="D13" s="230"/>
      <c r="E13" s="230"/>
      <c r="F13" s="230"/>
      <c r="G13" s="231"/>
      <c r="H13" s="231"/>
      <c r="I13" s="231"/>
      <c r="J13" s="231"/>
      <c r="K13" s="231">
        <v>27</v>
      </c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2"/>
    </row>
    <row r="14" spans="1:48" ht="18.75" customHeight="1">
      <c r="B14" s="228" t="s">
        <v>38</v>
      </c>
      <c r="C14" s="229">
        <v>3452</v>
      </c>
      <c r="D14" s="230"/>
      <c r="E14" s="230"/>
      <c r="F14" s="230"/>
      <c r="G14" s="231"/>
      <c r="H14" s="231"/>
      <c r="I14" s="231"/>
      <c r="J14" s="231"/>
      <c r="K14" s="231"/>
      <c r="L14" s="231">
        <v>3452</v>
      </c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2"/>
    </row>
    <row r="15" spans="1:48" ht="18.75" customHeight="1">
      <c r="B15" s="228" t="s">
        <v>40</v>
      </c>
      <c r="C15" s="229">
        <v>1309</v>
      </c>
      <c r="D15" s="230"/>
      <c r="E15" s="230"/>
      <c r="F15" s="230"/>
      <c r="G15" s="231"/>
      <c r="H15" s="231"/>
      <c r="I15" s="231"/>
      <c r="J15" s="231"/>
      <c r="K15" s="231"/>
      <c r="L15" s="231"/>
      <c r="M15" s="231">
        <v>1309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2"/>
    </row>
    <row r="16" spans="1:48" s="238" customFormat="1" ht="18.75" customHeight="1">
      <c r="A16" s="237"/>
      <c r="B16" s="228" t="s">
        <v>42</v>
      </c>
      <c r="C16" s="229">
        <v>1685</v>
      </c>
      <c r="D16" s="230"/>
      <c r="E16" s="230"/>
      <c r="F16" s="230"/>
      <c r="G16" s="231"/>
      <c r="H16" s="231"/>
      <c r="I16" s="231"/>
      <c r="J16" s="231"/>
      <c r="K16" s="231"/>
      <c r="L16" s="231"/>
      <c r="M16" s="231"/>
      <c r="N16" s="231">
        <v>1685</v>
      </c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2"/>
    </row>
    <row r="17" spans="1:48" ht="18.75" customHeight="1">
      <c r="B17" s="228" t="s">
        <v>44</v>
      </c>
      <c r="C17" s="229"/>
      <c r="D17" s="230"/>
      <c r="E17" s="230"/>
      <c r="F17" s="230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2"/>
    </row>
    <row r="18" spans="1:48" ht="18.75" customHeight="1">
      <c r="B18" s="228" t="s">
        <v>46</v>
      </c>
      <c r="C18" s="229">
        <v>15</v>
      </c>
      <c r="D18" s="230"/>
      <c r="E18" s="230"/>
      <c r="F18" s="230"/>
      <c r="G18" s="231"/>
      <c r="H18" s="231"/>
      <c r="I18" s="231"/>
      <c r="J18" s="231"/>
      <c r="K18" s="231"/>
      <c r="L18" s="231"/>
      <c r="M18" s="231"/>
      <c r="N18" s="231"/>
      <c r="O18" s="231"/>
      <c r="P18" s="231">
        <v>15</v>
      </c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2"/>
    </row>
    <row r="19" spans="1:48" ht="18.75" customHeight="1">
      <c r="B19" s="228" t="s">
        <v>137</v>
      </c>
      <c r="C19" s="229">
        <v>855</v>
      </c>
      <c r="D19" s="230"/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>
        <v>855</v>
      </c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2"/>
    </row>
    <row r="20" spans="1:48" ht="18.75" customHeight="1">
      <c r="B20" s="228" t="s">
        <v>240</v>
      </c>
      <c r="C20" s="229">
        <v>251</v>
      </c>
      <c r="D20" s="230"/>
      <c r="E20" s="230"/>
      <c r="F20" s="230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>
        <v>251</v>
      </c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2"/>
    </row>
    <row r="21" spans="1:48" ht="18.75" customHeight="1">
      <c r="B21" s="228" t="s">
        <v>139</v>
      </c>
      <c r="C21" s="229">
        <v>911</v>
      </c>
      <c r="D21" s="230"/>
      <c r="E21" s="230"/>
      <c r="F21" s="230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>
        <v>911</v>
      </c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2"/>
    </row>
    <row r="22" spans="1:48" ht="18.75" customHeight="1">
      <c r="B22" s="228" t="s">
        <v>54</v>
      </c>
      <c r="C22" s="229">
        <v>548</v>
      </c>
      <c r="D22" s="230"/>
      <c r="E22" s="230"/>
      <c r="F22" s="230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>
        <v>548</v>
      </c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2"/>
    </row>
    <row r="23" spans="1:48" ht="18.75" customHeight="1">
      <c r="B23" s="228" t="s">
        <v>56</v>
      </c>
      <c r="C23" s="229">
        <v>52</v>
      </c>
      <c r="D23" s="230"/>
      <c r="E23" s="230"/>
      <c r="F23" s="230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>
        <v>52</v>
      </c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2"/>
    </row>
    <row r="24" spans="1:48" ht="18.75" customHeight="1">
      <c r="B24" s="228" t="s">
        <v>141</v>
      </c>
      <c r="C24" s="229">
        <v>2981</v>
      </c>
      <c r="D24" s="230"/>
      <c r="E24" s="230"/>
      <c r="F24" s="230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>
        <v>2981</v>
      </c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2"/>
    </row>
    <row r="25" spans="1:48" ht="18.75" customHeight="1">
      <c r="B25" s="228" t="s">
        <v>60</v>
      </c>
      <c r="C25" s="229">
        <v>589</v>
      </c>
      <c r="D25" s="230"/>
      <c r="E25" s="230"/>
      <c r="F25" s="230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>
        <v>589</v>
      </c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2"/>
    </row>
    <row r="26" spans="1:48" ht="18.75" customHeight="1">
      <c r="B26" s="228" t="s">
        <v>143</v>
      </c>
      <c r="C26" s="229">
        <v>648</v>
      </c>
      <c r="D26" s="230"/>
      <c r="E26" s="230"/>
      <c r="F26" s="230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>
        <v>648</v>
      </c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2"/>
    </row>
    <row r="27" spans="1:48" ht="18.75" customHeight="1">
      <c r="B27" s="228" t="s">
        <v>145</v>
      </c>
      <c r="C27" s="229">
        <v>491</v>
      </c>
      <c r="D27" s="230"/>
      <c r="E27" s="230"/>
      <c r="F27" s="230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>
        <v>491</v>
      </c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2"/>
    </row>
    <row r="28" spans="1:48" ht="18.75" customHeight="1">
      <c r="B28" s="228" t="s">
        <v>147</v>
      </c>
      <c r="C28" s="229">
        <v>1059</v>
      </c>
      <c r="D28" s="230"/>
      <c r="E28" s="230"/>
      <c r="F28" s="230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>
        <v>1059</v>
      </c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2"/>
    </row>
    <row r="29" spans="1:48" ht="18.75" customHeight="1">
      <c r="B29" s="228" t="s">
        <v>149</v>
      </c>
      <c r="C29" s="229">
        <v>1060</v>
      </c>
      <c r="D29" s="230"/>
      <c r="E29" s="230"/>
      <c r="F29" s="230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>
        <v>1060</v>
      </c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2"/>
    </row>
    <row r="30" spans="1:48" ht="18.75" customHeight="1">
      <c r="B30" s="228" t="s">
        <v>151</v>
      </c>
      <c r="C30" s="229">
        <v>819</v>
      </c>
      <c r="D30" s="230"/>
      <c r="E30" s="230"/>
      <c r="F30" s="230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>
        <v>819</v>
      </c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2"/>
    </row>
    <row r="31" spans="1:48" ht="16.5" customHeight="1">
      <c r="B31" s="228" t="s">
        <v>153</v>
      </c>
      <c r="C31" s="229">
        <v>2167</v>
      </c>
      <c r="D31" s="230"/>
      <c r="E31" s="230"/>
      <c r="F31" s="230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>
        <v>2167</v>
      </c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2"/>
    </row>
    <row r="32" spans="1:48" s="212" customFormat="1" ht="22.5" customHeight="1">
      <c r="A32" s="212">
        <v>1</v>
      </c>
      <c r="B32" s="228" t="s">
        <v>241</v>
      </c>
      <c r="C32" s="227">
        <v>27889</v>
      </c>
      <c r="D32" s="227">
        <v>1394</v>
      </c>
      <c r="E32" s="227">
        <v>208</v>
      </c>
      <c r="F32" s="227">
        <v>511</v>
      </c>
      <c r="G32" s="227">
        <v>873</v>
      </c>
      <c r="H32" s="227">
        <v>379</v>
      </c>
      <c r="I32" s="227">
        <v>4348</v>
      </c>
      <c r="J32" s="227">
        <v>757</v>
      </c>
      <c r="K32" s="227">
        <v>27</v>
      </c>
      <c r="L32" s="227">
        <v>3452</v>
      </c>
      <c r="M32" s="227">
        <v>1309</v>
      </c>
      <c r="N32" s="227">
        <v>1685</v>
      </c>
      <c r="O32" s="227">
        <v>0</v>
      </c>
      <c r="P32" s="227">
        <v>15</v>
      </c>
      <c r="Q32" s="227">
        <v>855</v>
      </c>
      <c r="R32" s="227">
        <v>251</v>
      </c>
      <c r="S32" s="227">
        <v>1411</v>
      </c>
      <c r="T32" s="227">
        <v>548</v>
      </c>
      <c r="U32" s="227">
        <v>52</v>
      </c>
      <c r="V32" s="227">
        <v>2981</v>
      </c>
      <c r="W32" s="227">
        <v>589</v>
      </c>
      <c r="X32" s="227">
        <v>648</v>
      </c>
      <c r="Y32" s="227">
        <v>491</v>
      </c>
      <c r="Z32" s="227">
        <v>1059</v>
      </c>
      <c r="AA32" s="227">
        <v>1060</v>
      </c>
      <c r="AB32" s="227">
        <v>819</v>
      </c>
      <c r="AC32" s="227">
        <v>2167</v>
      </c>
      <c r="AD32" s="227">
        <v>0</v>
      </c>
      <c r="AE32" s="227">
        <v>0</v>
      </c>
      <c r="AF32" s="227">
        <v>0</v>
      </c>
      <c r="AG32" s="227">
        <v>0</v>
      </c>
      <c r="AH32" s="227">
        <v>0</v>
      </c>
      <c r="AI32" s="227">
        <v>0</v>
      </c>
      <c r="AJ32" s="227">
        <v>0</v>
      </c>
      <c r="AK32" s="227">
        <v>0</v>
      </c>
      <c r="AL32" s="227">
        <v>0</v>
      </c>
      <c r="AM32" s="227">
        <v>0</v>
      </c>
      <c r="AN32" s="227">
        <v>0</v>
      </c>
      <c r="AO32" s="227">
        <v>0</v>
      </c>
      <c r="AP32" s="227">
        <v>0</v>
      </c>
      <c r="AQ32" s="227">
        <v>0</v>
      </c>
      <c r="AR32" s="227">
        <v>0</v>
      </c>
      <c r="AS32" s="227">
        <v>0</v>
      </c>
      <c r="AT32" s="227">
        <v>0</v>
      </c>
      <c r="AU32" s="227">
        <v>0</v>
      </c>
      <c r="AV32" s="232"/>
    </row>
    <row r="33" spans="1:48" ht="17.25" customHeight="1">
      <c r="B33" s="228" t="s">
        <v>155</v>
      </c>
      <c r="C33" s="229">
        <v>4854</v>
      </c>
      <c r="D33" s="230"/>
      <c r="E33" s="230"/>
      <c r="F33" s="230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>
        <v>4854</v>
      </c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2"/>
    </row>
    <row r="34" spans="1:48" ht="17.25" customHeight="1">
      <c r="B34" s="228" t="s">
        <v>157</v>
      </c>
      <c r="C34" s="229">
        <v>3222</v>
      </c>
      <c r="D34" s="230"/>
      <c r="E34" s="230"/>
      <c r="F34" s="230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>
        <v>3222</v>
      </c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2"/>
    </row>
    <row r="35" spans="1:48" ht="17.25" customHeight="1">
      <c r="B35" s="228" t="s">
        <v>78</v>
      </c>
      <c r="C35" s="229">
        <v>6721</v>
      </c>
      <c r="D35" s="230"/>
      <c r="E35" s="230"/>
      <c r="F35" s="230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>
        <v>6721</v>
      </c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2"/>
    </row>
    <row r="36" spans="1:48" ht="17.25" customHeight="1">
      <c r="B36" s="228" t="s">
        <v>159</v>
      </c>
      <c r="C36" s="229">
        <v>5571</v>
      </c>
      <c r="D36" s="230"/>
      <c r="E36" s="230"/>
      <c r="F36" s="230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>
        <v>5571</v>
      </c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2"/>
    </row>
    <row r="37" spans="1:48" ht="17.25" customHeight="1">
      <c r="B37" s="228" t="s">
        <v>82</v>
      </c>
      <c r="C37" s="229">
        <v>788</v>
      </c>
      <c r="D37" s="230"/>
      <c r="E37" s="230"/>
      <c r="F37" s="230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>
        <v>788</v>
      </c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2"/>
    </row>
    <row r="38" spans="1:48" ht="17.25" customHeight="1">
      <c r="B38" s="228" t="s">
        <v>84</v>
      </c>
      <c r="C38" s="229">
        <v>711</v>
      </c>
      <c r="D38" s="230"/>
      <c r="E38" s="230"/>
      <c r="F38" s="230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>
        <v>711</v>
      </c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2"/>
    </row>
    <row r="39" spans="1:48" ht="17.25" customHeight="1">
      <c r="B39" s="228" t="s">
        <v>161</v>
      </c>
      <c r="C39" s="229">
        <v>1333</v>
      </c>
      <c r="D39" s="230"/>
      <c r="E39" s="230"/>
      <c r="F39" s="230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>
        <v>250</v>
      </c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>
        <v>1083</v>
      </c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2"/>
    </row>
    <row r="40" spans="1:48" ht="17.25" customHeight="1">
      <c r="B40" s="228" t="s">
        <v>163</v>
      </c>
      <c r="C40" s="229">
        <v>2474</v>
      </c>
      <c r="D40" s="230"/>
      <c r="E40" s="230"/>
      <c r="F40" s="230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>
        <v>2474</v>
      </c>
      <c r="AM40" s="231"/>
      <c r="AN40" s="231"/>
      <c r="AO40" s="231"/>
      <c r="AP40" s="231"/>
      <c r="AQ40" s="231"/>
      <c r="AR40" s="231"/>
      <c r="AS40" s="231"/>
      <c r="AT40" s="231"/>
      <c r="AU40" s="231"/>
      <c r="AV40" s="232"/>
    </row>
    <row r="41" spans="1:48" ht="17.25" customHeight="1">
      <c r="B41" s="228" t="s">
        <v>266</v>
      </c>
      <c r="C41" s="229">
        <v>497</v>
      </c>
      <c r="D41" s="230"/>
      <c r="E41" s="230"/>
      <c r="F41" s="230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>
        <v>497</v>
      </c>
      <c r="AN41" s="231"/>
      <c r="AO41" s="231"/>
      <c r="AP41" s="231"/>
      <c r="AQ41" s="231"/>
      <c r="AR41" s="231"/>
      <c r="AS41" s="231"/>
      <c r="AT41" s="231"/>
      <c r="AU41" s="231"/>
      <c r="AV41" s="232"/>
    </row>
    <row r="42" spans="1:48" ht="17.25" customHeight="1">
      <c r="B42" s="228" t="s">
        <v>267</v>
      </c>
      <c r="C42" s="229">
        <v>1203</v>
      </c>
      <c r="D42" s="230"/>
      <c r="E42" s="230"/>
      <c r="F42" s="230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>
        <v>1203</v>
      </c>
      <c r="AO42" s="231"/>
      <c r="AP42" s="231"/>
      <c r="AQ42" s="231"/>
      <c r="AR42" s="231"/>
      <c r="AS42" s="231"/>
      <c r="AT42" s="231"/>
      <c r="AU42" s="231"/>
      <c r="AV42" s="232"/>
    </row>
    <row r="43" spans="1:48" s="241" customFormat="1" ht="29.25" customHeight="1">
      <c r="A43" s="212">
        <v>1</v>
      </c>
      <c r="B43" s="239" t="s">
        <v>247</v>
      </c>
      <c r="C43" s="240">
        <v>27374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0</v>
      </c>
      <c r="X43" s="240">
        <v>250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0">
        <v>4854</v>
      </c>
      <c r="AE43" s="240">
        <v>3222</v>
      </c>
      <c r="AF43" s="240">
        <v>6721</v>
      </c>
      <c r="AG43" s="240">
        <v>5571</v>
      </c>
      <c r="AH43" s="240">
        <v>788</v>
      </c>
      <c r="AI43" s="240">
        <v>711</v>
      </c>
      <c r="AJ43" s="240">
        <v>0</v>
      </c>
      <c r="AK43" s="240">
        <v>1083</v>
      </c>
      <c r="AL43" s="240">
        <v>2474</v>
      </c>
      <c r="AM43" s="240">
        <v>497</v>
      </c>
      <c r="AN43" s="240">
        <v>1203</v>
      </c>
      <c r="AO43" s="240">
        <v>0</v>
      </c>
      <c r="AP43" s="240">
        <v>0</v>
      </c>
      <c r="AQ43" s="240">
        <v>0</v>
      </c>
      <c r="AR43" s="240">
        <v>0</v>
      </c>
      <c r="AS43" s="240">
        <v>0</v>
      </c>
      <c r="AT43" s="240">
        <v>0</v>
      </c>
      <c r="AU43" s="240">
        <v>0</v>
      </c>
      <c r="AV43" s="232"/>
    </row>
    <row r="44" spans="1:48" ht="16.5" customHeight="1">
      <c r="B44" s="239" t="s">
        <v>268</v>
      </c>
      <c r="C44" s="229">
        <v>1564</v>
      </c>
      <c r="D44" s="230"/>
      <c r="E44" s="230"/>
      <c r="F44" s="230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>
        <v>1564</v>
      </c>
      <c r="AP44" s="231"/>
      <c r="AQ44" s="231"/>
      <c r="AR44" s="231"/>
      <c r="AS44" s="231"/>
      <c r="AT44" s="231"/>
      <c r="AU44" s="231"/>
      <c r="AV44" s="232"/>
    </row>
    <row r="45" spans="1:48" ht="16.5" customHeight="1">
      <c r="B45" s="239" t="s">
        <v>269</v>
      </c>
      <c r="C45" s="229">
        <v>2196</v>
      </c>
      <c r="D45" s="230"/>
      <c r="E45" s="230"/>
      <c r="F45" s="230"/>
      <c r="G45" s="231">
        <v>10</v>
      </c>
      <c r="H45" s="231"/>
      <c r="I45" s="231"/>
      <c r="J45" s="231"/>
      <c r="K45" s="231"/>
      <c r="L45" s="231"/>
      <c r="M45" s="231"/>
      <c r="N45" s="231"/>
      <c r="O45" s="231">
        <v>10</v>
      </c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>
        <v>10</v>
      </c>
      <c r="AA45" s="231"/>
      <c r="AB45" s="231"/>
      <c r="AC45" s="231">
        <v>10</v>
      </c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>
        <v>2156</v>
      </c>
      <c r="AQ45" s="231"/>
      <c r="AR45" s="231"/>
      <c r="AS45" s="231"/>
      <c r="AT45" s="231"/>
      <c r="AU45" s="231"/>
      <c r="AV45" s="232"/>
    </row>
    <row r="46" spans="1:48" ht="32.25" customHeight="1">
      <c r="B46" s="239" t="s">
        <v>167</v>
      </c>
      <c r="C46" s="229">
        <v>6276</v>
      </c>
      <c r="D46" s="230">
        <v>50</v>
      </c>
      <c r="E46" s="230"/>
      <c r="F46" s="230"/>
      <c r="G46" s="231">
        <v>10</v>
      </c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>
        <v>50</v>
      </c>
      <c r="AC46" s="231">
        <v>50</v>
      </c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>
        <v>6116</v>
      </c>
      <c r="AR46" s="231"/>
      <c r="AS46" s="231"/>
      <c r="AT46" s="231"/>
      <c r="AU46" s="231"/>
      <c r="AV46" s="232"/>
    </row>
    <row r="47" spans="1:48" ht="16.5" customHeight="1">
      <c r="B47" s="239" t="s">
        <v>169</v>
      </c>
      <c r="C47" s="229">
        <v>5348</v>
      </c>
      <c r="D47" s="230"/>
      <c r="E47" s="230"/>
      <c r="F47" s="230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>
        <v>5348</v>
      </c>
      <c r="AS47" s="231"/>
      <c r="AT47" s="231"/>
      <c r="AU47" s="231"/>
      <c r="AV47" s="232"/>
    </row>
    <row r="48" spans="1:48" ht="18.75" customHeight="1">
      <c r="B48" s="239" t="s">
        <v>102</v>
      </c>
      <c r="C48" s="229">
        <v>6422</v>
      </c>
      <c r="D48" s="230"/>
      <c r="E48" s="230"/>
      <c r="F48" s="230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>
        <v>6422</v>
      </c>
      <c r="AT48" s="231"/>
      <c r="AU48" s="231"/>
      <c r="AV48" s="232"/>
    </row>
    <row r="49" spans="1:48" ht="18.75" customHeight="1">
      <c r="B49" s="239" t="s">
        <v>171</v>
      </c>
      <c r="C49" s="229">
        <v>5499</v>
      </c>
      <c r="D49" s="230"/>
      <c r="E49" s="230"/>
      <c r="F49" s="230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>
        <v>5499</v>
      </c>
      <c r="AU49" s="231"/>
      <c r="AV49" s="232"/>
    </row>
    <row r="50" spans="1:48" ht="18.75" customHeight="1">
      <c r="B50" s="239" t="s">
        <v>173</v>
      </c>
      <c r="C50" s="229">
        <v>3982</v>
      </c>
      <c r="D50" s="230"/>
      <c r="E50" s="230"/>
      <c r="F50" s="230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>
        <v>3982</v>
      </c>
      <c r="AV50" s="232"/>
    </row>
    <row r="51" spans="1:48" s="242" customFormat="1" ht="25.5" customHeight="1">
      <c r="A51" s="212">
        <v>1</v>
      </c>
      <c r="B51" s="239" t="s">
        <v>250</v>
      </c>
      <c r="C51" s="227">
        <v>31287</v>
      </c>
      <c r="D51" s="227">
        <v>50</v>
      </c>
      <c r="E51" s="227">
        <v>0</v>
      </c>
      <c r="F51" s="227">
        <v>0</v>
      </c>
      <c r="G51" s="227">
        <v>20</v>
      </c>
      <c r="H51" s="227">
        <v>0</v>
      </c>
      <c r="I51" s="227">
        <v>0</v>
      </c>
      <c r="J51" s="227">
        <v>0</v>
      </c>
      <c r="K51" s="227">
        <v>0</v>
      </c>
      <c r="L51" s="227">
        <v>0</v>
      </c>
      <c r="M51" s="227">
        <v>0</v>
      </c>
      <c r="N51" s="227">
        <v>0</v>
      </c>
      <c r="O51" s="227">
        <v>10</v>
      </c>
      <c r="P51" s="227">
        <v>0</v>
      </c>
      <c r="Q51" s="227">
        <v>0</v>
      </c>
      <c r="R51" s="227">
        <v>0</v>
      </c>
      <c r="S51" s="227">
        <v>0</v>
      </c>
      <c r="T51" s="227">
        <v>0</v>
      </c>
      <c r="U51" s="227">
        <v>0</v>
      </c>
      <c r="V51" s="227">
        <v>0</v>
      </c>
      <c r="W51" s="227">
        <v>0</v>
      </c>
      <c r="X51" s="227">
        <v>0</v>
      </c>
      <c r="Y51" s="227">
        <v>0</v>
      </c>
      <c r="Z51" s="227">
        <v>10</v>
      </c>
      <c r="AA51" s="227">
        <v>0</v>
      </c>
      <c r="AB51" s="227">
        <v>50</v>
      </c>
      <c r="AC51" s="227">
        <v>60</v>
      </c>
      <c r="AD51" s="227">
        <v>0</v>
      </c>
      <c r="AE51" s="227">
        <v>0</v>
      </c>
      <c r="AF51" s="227">
        <v>0</v>
      </c>
      <c r="AG51" s="227">
        <v>0</v>
      </c>
      <c r="AH51" s="227">
        <v>0</v>
      </c>
      <c r="AI51" s="227">
        <v>0</v>
      </c>
      <c r="AJ51" s="227">
        <v>0</v>
      </c>
      <c r="AK51" s="227">
        <v>0</v>
      </c>
      <c r="AL51" s="227">
        <v>0</v>
      </c>
      <c r="AM51" s="227">
        <v>0</v>
      </c>
      <c r="AN51" s="227">
        <v>0</v>
      </c>
      <c r="AO51" s="227">
        <v>1564</v>
      </c>
      <c r="AP51" s="227">
        <v>2156</v>
      </c>
      <c r="AQ51" s="227">
        <v>6116</v>
      </c>
      <c r="AR51" s="227">
        <v>5348</v>
      </c>
      <c r="AS51" s="227">
        <v>6422</v>
      </c>
      <c r="AT51" s="227">
        <v>5499</v>
      </c>
      <c r="AU51" s="227">
        <v>3982</v>
      </c>
      <c r="AV51" s="232"/>
    </row>
    <row r="52" spans="1:48" s="242" customFormat="1" ht="25.5" customHeight="1">
      <c r="A52" s="212"/>
      <c r="B52" s="239" t="s">
        <v>108</v>
      </c>
      <c r="C52" s="243">
        <v>5823</v>
      </c>
      <c r="D52" s="244">
        <v>5</v>
      </c>
      <c r="E52" s="244"/>
      <c r="F52" s="245">
        <v>300</v>
      </c>
      <c r="G52" s="245">
        <v>5</v>
      </c>
      <c r="H52" s="245">
        <v>100</v>
      </c>
      <c r="I52" s="245">
        <v>5</v>
      </c>
      <c r="J52" s="245">
        <v>150</v>
      </c>
      <c r="K52" s="245">
        <v>800</v>
      </c>
      <c r="L52" s="245">
        <v>5</v>
      </c>
      <c r="M52" s="245">
        <v>400</v>
      </c>
      <c r="N52" s="245">
        <v>700</v>
      </c>
      <c r="O52" s="245">
        <v>5</v>
      </c>
      <c r="P52" s="245">
        <v>1000</v>
      </c>
      <c r="Q52" s="245">
        <v>350</v>
      </c>
      <c r="R52" s="245">
        <v>100</v>
      </c>
      <c r="S52" s="245">
        <v>5</v>
      </c>
      <c r="T52" s="245">
        <v>120</v>
      </c>
      <c r="U52" s="245">
        <v>372</v>
      </c>
      <c r="V52" s="245">
        <v>650</v>
      </c>
      <c r="W52" s="245">
        <v>200</v>
      </c>
      <c r="X52" s="245">
        <v>550</v>
      </c>
      <c r="Y52" s="246"/>
      <c r="Z52" s="245">
        <v>1</v>
      </c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32"/>
    </row>
    <row r="53" spans="1:48" s="242" customFormat="1" ht="31.5" customHeight="1">
      <c r="A53" s="212"/>
      <c r="B53" s="239" t="s">
        <v>110</v>
      </c>
      <c r="C53" s="243">
        <v>712</v>
      </c>
      <c r="D53" s="244">
        <v>2</v>
      </c>
      <c r="E53" s="244"/>
      <c r="F53" s="245">
        <v>85</v>
      </c>
      <c r="G53" s="245">
        <v>2</v>
      </c>
      <c r="H53" s="245">
        <v>7</v>
      </c>
      <c r="I53" s="245">
        <v>7</v>
      </c>
      <c r="J53" s="245">
        <v>149</v>
      </c>
      <c r="K53" s="245">
        <v>9</v>
      </c>
      <c r="L53" s="245">
        <v>51</v>
      </c>
      <c r="M53" s="245">
        <v>16</v>
      </c>
      <c r="N53" s="245">
        <v>41</v>
      </c>
      <c r="O53" s="245">
        <v>1</v>
      </c>
      <c r="P53" s="245">
        <v>23</v>
      </c>
      <c r="Q53" s="245">
        <v>3</v>
      </c>
      <c r="R53" s="245">
        <v>4</v>
      </c>
      <c r="S53" s="245">
        <v>2</v>
      </c>
      <c r="T53" s="245">
        <v>9</v>
      </c>
      <c r="U53" s="245">
        <v>6</v>
      </c>
      <c r="V53" s="245">
        <v>105</v>
      </c>
      <c r="W53" s="245">
        <v>17</v>
      </c>
      <c r="X53" s="245">
        <v>35</v>
      </c>
      <c r="Y53" s="245">
        <v>7</v>
      </c>
      <c r="Z53" s="246"/>
      <c r="AA53" s="245">
        <v>6</v>
      </c>
      <c r="AB53" s="246"/>
      <c r="AC53" s="245">
        <v>16</v>
      </c>
      <c r="AD53" s="246"/>
      <c r="AE53" s="246"/>
      <c r="AF53" s="245">
        <v>3</v>
      </c>
      <c r="AG53" s="246"/>
      <c r="AH53" s="245">
        <v>1</v>
      </c>
      <c r="AI53" s="245"/>
      <c r="AJ53" s="256">
        <v>105</v>
      </c>
      <c r="AK53" s="245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32"/>
    </row>
    <row r="54" spans="1:48" s="242" customFormat="1" ht="31.5" customHeight="1">
      <c r="A54" s="212"/>
      <c r="B54" s="239" t="s">
        <v>112</v>
      </c>
      <c r="C54" s="243">
        <v>4359</v>
      </c>
      <c r="D54" s="244"/>
      <c r="E54" s="244"/>
      <c r="F54" s="245">
        <v>15</v>
      </c>
      <c r="G54" s="246"/>
      <c r="H54" s="245">
        <v>43</v>
      </c>
      <c r="I54" s="246"/>
      <c r="J54" s="245"/>
      <c r="K54" s="245">
        <v>91</v>
      </c>
      <c r="L54" s="245"/>
      <c r="M54" s="245">
        <v>134</v>
      </c>
      <c r="N54" s="245">
        <v>59</v>
      </c>
      <c r="O54" s="246"/>
      <c r="P54" s="245">
        <v>127</v>
      </c>
      <c r="Q54" s="245">
        <v>47</v>
      </c>
      <c r="R54" s="245">
        <v>46</v>
      </c>
      <c r="S54" s="245">
        <v>48</v>
      </c>
      <c r="T54" s="245">
        <v>41</v>
      </c>
      <c r="U54" s="245">
        <v>105</v>
      </c>
      <c r="V54" s="245"/>
      <c r="W54" s="245">
        <v>133</v>
      </c>
      <c r="X54" s="245">
        <v>215</v>
      </c>
      <c r="Y54" s="245">
        <v>43</v>
      </c>
      <c r="Z54" s="246"/>
      <c r="AA54" s="246"/>
      <c r="AB54" s="246"/>
      <c r="AC54" s="246"/>
      <c r="AD54" s="246"/>
      <c r="AE54" s="246"/>
      <c r="AF54" s="246"/>
      <c r="AG54" s="246"/>
      <c r="AH54" s="246"/>
      <c r="AI54" s="245"/>
      <c r="AJ54" s="245">
        <v>3212</v>
      </c>
      <c r="AK54" s="245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32"/>
    </row>
    <row r="55" spans="1:48" s="242" customFormat="1" ht="25.5" customHeight="1">
      <c r="A55" s="212"/>
      <c r="B55" s="239" t="s">
        <v>175</v>
      </c>
      <c r="C55" s="243">
        <v>1100</v>
      </c>
      <c r="D55" s="244"/>
      <c r="E55" s="244"/>
      <c r="F55" s="244"/>
      <c r="G55" s="245">
        <v>100</v>
      </c>
      <c r="H55" s="245"/>
      <c r="I55" s="246"/>
      <c r="J55" s="246"/>
      <c r="K55" s="246"/>
      <c r="L55" s="246"/>
      <c r="M55" s="246"/>
      <c r="N55" s="246"/>
      <c r="O55" s="245">
        <v>294</v>
      </c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5">
        <v>250</v>
      </c>
      <c r="AA55" s="246"/>
      <c r="AB55" s="245">
        <v>229</v>
      </c>
      <c r="AC55" s="245">
        <v>227</v>
      </c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32"/>
    </row>
    <row r="56" spans="1:48" s="242" customFormat="1" ht="25.5" customHeight="1">
      <c r="A56" s="212">
        <v>1</v>
      </c>
      <c r="B56" s="239" t="s">
        <v>271</v>
      </c>
      <c r="C56" s="227">
        <v>11994</v>
      </c>
      <c r="D56" s="227">
        <v>7</v>
      </c>
      <c r="E56" s="227">
        <v>0</v>
      </c>
      <c r="F56" s="227">
        <v>400</v>
      </c>
      <c r="G56" s="227">
        <v>107</v>
      </c>
      <c r="H56" s="227">
        <v>150</v>
      </c>
      <c r="I56" s="227">
        <v>12</v>
      </c>
      <c r="J56" s="227">
        <v>299</v>
      </c>
      <c r="K56" s="227">
        <v>900</v>
      </c>
      <c r="L56" s="227">
        <v>56</v>
      </c>
      <c r="M56" s="227">
        <v>550</v>
      </c>
      <c r="N56" s="227">
        <v>800</v>
      </c>
      <c r="O56" s="227">
        <v>300</v>
      </c>
      <c r="P56" s="227">
        <v>1150</v>
      </c>
      <c r="Q56" s="227">
        <v>400</v>
      </c>
      <c r="R56" s="227">
        <v>150</v>
      </c>
      <c r="S56" s="227">
        <v>55</v>
      </c>
      <c r="T56" s="227">
        <v>170</v>
      </c>
      <c r="U56" s="227">
        <v>483</v>
      </c>
      <c r="V56" s="227">
        <v>755</v>
      </c>
      <c r="W56" s="227">
        <v>350</v>
      </c>
      <c r="X56" s="227">
        <v>800</v>
      </c>
      <c r="Y56" s="227">
        <v>50</v>
      </c>
      <c r="Z56" s="227">
        <v>251</v>
      </c>
      <c r="AA56" s="227">
        <v>6</v>
      </c>
      <c r="AB56" s="227">
        <v>229</v>
      </c>
      <c r="AC56" s="227">
        <v>243</v>
      </c>
      <c r="AD56" s="227">
        <v>0</v>
      </c>
      <c r="AE56" s="227">
        <v>0</v>
      </c>
      <c r="AF56" s="227">
        <v>3</v>
      </c>
      <c r="AG56" s="227">
        <v>0</v>
      </c>
      <c r="AH56" s="227">
        <v>1</v>
      </c>
      <c r="AI56" s="227">
        <v>0</v>
      </c>
      <c r="AJ56" s="227">
        <v>3317</v>
      </c>
      <c r="AK56" s="227">
        <v>0</v>
      </c>
      <c r="AL56" s="227">
        <v>0</v>
      </c>
      <c r="AM56" s="227">
        <v>0</v>
      </c>
      <c r="AN56" s="227">
        <v>0</v>
      </c>
      <c r="AO56" s="227">
        <v>0</v>
      </c>
      <c r="AP56" s="227">
        <v>0</v>
      </c>
      <c r="AQ56" s="227">
        <v>0</v>
      </c>
      <c r="AR56" s="227">
        <v>0</v>
      </c>
      <c r="AS56" s="227">
        <v>0</v>
      </c>
      <c r="AT56" s="227">
        <v>0</v>
      </c>
      <c r="AU56" s="227">
        <v>0</v>
      </c>
      <c r="AV56" s="232"/>
    </row>
    <row r="57" spans="1:48" ht="25.5" customHeight="1">
      <c r="A57" s="212">
        <v>2</v>
      </c>
      <c r="B57" s="239" t="s">
        <v>272</v>
      </c>
      <c r="C57" s="240">
        <v>98544</v>
      </c>
      <c r="D57" s="240">
        <v>1451</v>
      </c>
      <c r="E57" s="240">
        <v>208</v>
      </c>
      <c r="F57" s="240">
        <v>911</v>
      </c>
      <c r="G57" s="240">
        <v>1000</v>
      </c>
      <c r="H57" s="240">
        <v>529</v>
      </c>
      <c r="I57" s="240">
        <v>4360</v>
      </c>
      <c r="J57" s="240">
        <v>1056</v>
      </c>
      <c r="K57" s="240">
        <v>927</v>
      </c>
      <c r="L57" s="240">
        <v>3508</v>
      </c>
      <c r="M57" s="240">
        <v>1859</v>
      </c>
      <c r="N57" s="240">
        <v>2485</v>
      </c>
      <c r="O57" s="240">
        <v>310</v>
      </c>
      <c r="P57" s="240">
        <v>1165</v>
      </c>
      <c r="Q57" s="240">
        <v>1255</v>
      </c>
      <c r="R57" s="240">
        <v>401</v>
      </c>
      <c r="S57" s="240">
        <v>1466</v>
      </c>
      <c r="T57" s="240">
        <v>718</v>
      </c>
      <c r="U57" s="240">
        <v>535</v>
      </c>
      <c r="V57" s="240">
        <v>3736</v>
      </c>
      <c r="W57" s="240">
        <v>939</v>
      </c>
      <c r="X57" s="240">
        <v>1698</v>
      </c>
      <c r="Y57" s="240">
        <v>541</v>
      </c>
      <c r="Z57" s="240">
        <v>1320</v>
      </c>
      <c r="AA57" s="240">
        <v>1066</v>
      </c>
      <c r="AB57" s="240">
        <v>1098</v>
      </c>
      <c r="AC57" s="240">
        <v>2470</v>
      </c>
      <c r="AD57" s="240">
        <v>4854</v>
      </c>
      <c r="AE57" s="240">
        <v>3222</v>
      </c>
      <c r="AF57" s="240">
        <v>6724</v>
      </c>
      <c r="AG57" s="240">
        <v>5571</v>
      </c>
      <c r="AH57" s="240">
        <v>789</v>
      </c>
      <c r="AI57" s="240">
        <v>711</v>
      </c>
      <c r="AJ57" s="240">
        <v>3317</v>
      </c>
      <c r="AK57" s="240">
        <v>1083</v>
      </c>
      <c r="AL57" s="240">
        <v>2474</v>
      </c>
      <c r="AM57" s="240">
        <v>497</v>
      </c>
      <c r="AN57" s="240">
        <v>1203</v>
      </c>
      <c r="AO57" s="240">
        <v>1564</v>
      </c>
      <c r="AP57" s="240">
        <v>2156</v>
      </c>
      <c r="AQ57" s="240">
        <v>6116</v>
      </c>
      <c r="AR57" s="240">
        <v>5348</v>
      </c>
      <c r="AS57" s="240">
        <v>6422</v>
      </c>
      <c r="AT57" s="240">
        <v>5499</v>
      </c>
      <c r="AU57" s="240">
        <v>3982</v>
      </c>
      <c r="AV57" s="232"/>
    </row>
    <row r="58" spans="1:48" s="249" customFormat="1" ht="45.75" customHeight="1">
      <c r="A58" s="247"/>
      <c r="B58" s="213"/>
      <c r="C58" s="248"/>
      <c r="D58" s="248"/>
      <c r="E58" s="248"/>
      <c r="F58" s="248"/>
      <c r="G58" s="248"/>
    </row>
    <row r="59" spans="1:48" s="251" customFormat="1">
      <c r="A59" s="250"/>
      <c r="B59" s="213"/>
      <c r="C59" s="248"/>
      <c r="D59" s="248"/>
      <c r="E59" s="248"/>
      <c r="F59" s="248"/>
      <c r="G59" s="248"/>
    </row>
    <row r="60" spans="1:48" s="251" customFormat="1">
      <c r="A60" s="250"/>
      <c r="B60" s="213"/>
      <c r="C60" s="252"/>
      <c r="D60" s="252"/>
      <c r="E60" s="252"/>
      <c r="F60" s="252"/>
      <c r="G60" s="252"/>
    </row>
    <row r="61" spans="1:48" s="251" customFormat="1">
      <c r="A61" s="250"/>
      <c r="B61" s="213"/>
      <c r="C61" s="214"/>
      <c r="D61" s="214"/>
      <c r="E61" s="214"/>
      <c r="F61" s="214"/>
      <c r="G61" s="214"/>
    </row>
    <row r="62" spans="1:48" s="251" customFormat="1">
      <c r="A62" s="250"/>
      <c r="B62" s="213"/>
      <c r="C62" s="214"/>
      <c r="D62" s="214"/>
      <c r="E62" s="214"/>
      <c r="F62" s="214"/>
      <c r="G62" s="214"/>
    </row>
    <row r="63" spans="1:48" s="251" customFormat="1">
      <c r="A63" s="250"/>
      <c r="B63" s="213"/>
      <c r="C63" s="214"/>
      <c r="D63" s="214"/>
      <c r="E63" s="214"/>
      <c r="F63" s="214"/>
      <c r="G63" s="214"/>
    </row>
    <row r="64" spans="1:48" s="251" customFormat="1">
      <c r="A64" s="250"/>
      <c r="B64" s="213"/>
      <c r="C64" s="214"/>
      <c r="D64" s="214"/>
      <c r="E64" s="214"/>
      <c r="F64" s="214"/>
      <c r="G64" s="214"/>
    </row>
    <row r="65" spans="1:7" s="251" customFormat="1">
      <c r="A65" s="250"/>
      <c r="B65" s="213"/>
      <c r="C65" s="214"/>
      <c r="D65" s="214"/>
      <c r="E65" s="214"/>
      <c r="F65" s="214"/>
      <c r="G65" s="214"/>
    </row>
    <row r="66" spans="1:7" s="251" customFormat="1">
      <c r="A66" s="250"/>
      <c r="B66" s="213"/>
      <c r="C66" s="214"/>
      <c r="D66" s="214"/>
      <c r="E66" s="214"/>
      <c r="F66" s="214"/>
      <c r="G66" s="214"/>
    </row>
    <row r="67" spans="1:7" s="251" customFormat="1">
      <c r="A67" s="250"/>
      <c r="B67" s="213"/>
      <c r="C67" s="214"/>
      <c r="D67" s="214"/>
      <c r="E67" s="214"/>
      <c r="F67" s="214"/>
      <c r="G67" s="214"/>
    </row>
    <row r="68" spans="1:7" s="251" customFormat="1">
      <c r="A68" s="250"/>
      <c r="B68" s="213"/>
      <c r="D68" s="214"/>
      <c r="E68" s="214"/>
      <c r="F68" s="214"/>
      <c r="G68" s="214"/>
    </row>
    <row r="69" spans="1:7" s="251" customFormat="1">
      <c r="A69" s="250"/>
      <c r="B69" s="213"/>
      <c r="C69" s="214"/>
      <c r="D69" s="214"/>
      <c r="E69" s="214"/>
      <c r="F69" s="214"/>
      <c r="G69" s="214"/>
    </row>
    <row r="70" spans="1:7" s="251" customFormat="1">
      <c r="A70" s="250"/>
      <c r="B70" s="213"/>
      <c r="C70" s="214"/>
      <c r="D70" s="214"/>
      <c r="E70" s="214"/>
      <c r="F70" s="214"/>
      <c r="G70" s="214"/>
    </row>
    <row r="71" spans="1:7" s="251" customFormat="1">
      <c r="A71" s="250"/>
      <c r="B71" s="213"/>
      <c r="C71" s="214"/>
      <c r="D71" s="214"/>
      <c r="E71" s="214"/>
      <c r="F71" s="214"/>
      <c r="G71" s="214"/>
    </row>
    <row r="72" spans="1:7" s="251" customFormat="1">
      <c r="A72" s="250"/>
      <c r="B72" s="213"/>
      <c r="C72" s="214"/>
      <c r="D72" s="214"/>
      <c r="E72" s="214"/>
      <c r="F72" s="214"/>
      <c r="G72" s="214"/>
    </row>
    <row r="73" spans="1:7" s="251" customFormat="1">
      <c r="A73" s="250"/>
      <c r="B73" s="213"/>
      <c r="C73" s="214"/>
      <c r="D73" s="214"/>
      <c r="E73" s="214"/>
      <c r="F73" s="214"/>
      <c r="G73" s="214"/>
    </row>
    <row r="74" spans="1:7" s="251" customFormat="1">
      <c r="A74" s="250"/>
      <c r="B74" s="213"/>
      <c r="C74" s="214"/>
      <c r="D74" s="214"/>
      <c r="E74" s="214"/>
      <c r="F74" s="214"/>
      <c r="G74" s="214"/>
    </row>
    <row r="75" spans="1:7" s="251" customFormat="1">
      <c r="A75" s="250"/>
      <c r="B75" s="213"/>
      <c r="C75" s="214"/>
      <c r="D75" s="214"/>
      <c r="E75" s="214"/>
      <c r="F75" s="214"/>
      <c r="G75" s="214"/>
    </row>
    <row r="76" spans="1:7" s="251" customFormat="1">
      <c r="A76" s="250"/>
      <c r="B76" s="213"/>
      <c r="C76" s="214"/>
      <c r="D76" s="214"/>
      <c r="E76" s="214"/>
      <c r="F76" s="214"/>
      <c r="G76" s="214"/>
    </row>
    <row r="77" spans="1:7" s="251" customFormat="1">
      <c r="A77" s="250"/>
      <c r="B77" s="213"/>
      <c r="C77" s="214"/>
      <c r="D77" s="214"/>
      <c r="E77" s="214"/>
      <c r="F77" s="214"/>
      <c r="G77" s="214"/>
    </row>
    <row r="78" spans="1:7" s="251" customFormat="1">
      <c r="A78" s="250"/>
      <c r="B78" s="213"/>
      <c r="C78" s="214"/>
      <c r="D78" s="214"/>
      <c r="E78" s="214"/>
      <c r="F78" s="214"/>
      <c r="G78" s="214"/>
    </row>
    <row r="79" spans="1:7" s="251" customFormat="1">
      <c r="A79" s="250"/>
      <c r="B79" s="213"/>
      <c r="C79" s="214"/>
      <c r="D79" s="214"/>
      <c r="E79" s="214"/>
      <c r="F79" s="214"/>
      <c r="G79" s="214"/>
    </row>
    <row r="80" spans="1:7" s="251" customFormat="1">
      <c r="A80" s="250"/>
      <c r="B80" s="213"/>
      <c r="C80" s="214"/>
      <c r="D80" s="214"/>
      <c r="E80" s="214"/>
      <c r="F80" s="214"/>
      <c r="G80" s="214"/>
    </row>
    <row r="81" spans="1:7" s="251" customFormat="1">
      <c r="A81" s="250"/>
      <c r="B81" s="213"/>
      <c r="C81" s="214"/>
      <c r="D81" s="214"/>
      <c r="E81" s="214"/>
      <c r="F81" s="214"/>
      <c r="G81" s="214"/>
    </row>
    <row r="82" spans="1:7" s="251" customFormat="1">
      <c r="A82" s="250"/>
      <c r="B82" s="213"/>
      <c r="C82" s="214"/>
      <c r="D82" s="214"/>
      <c r="E82" s="214"/>
      <c r="F82" s="214"/>
      <c r="G82" s="214"/>
    </row>
    <row r="83" spans="1:7" s="251" customFormat="1">
      <c r="A83" s="250"/>
      <c r="B83" s="213"/>
      <c r="C83" s="214"/>
      <c r="D83" s="214"/>
      <c r="E83" s="214"/>
      <c r="F83" s="214"/>
      <c r="G83" s="214"/>
    </row>
    <row r="84" spans="1:7" s="251" customFormat="1">
      <c r="A84" s="250"/>
      <c r="B84" s="213"/>
      <c r="C84" s="214"/>
      <c r="D84" s="214"/>
      <c r="E84" s="214"/>
      <c r="F84" s="214"/>
      <c r="G84" s="214"/>
    </row>
    <row r="85" spans="1:7" s="251" customFormat="1">
      <c r="A85" s="250"/>
      <c r="B85" s="213"/>
      <c r="C85" s="214"/>
      <c r="D85" s="214"/>
      <c r="E85" s="214"/>
      <c r="F85" s="214"/>
      <c r="G85" s="214"/>
    </row>
    <row r="86" spans="1:7" s="251" customFormat="1">
      <c r="A86" s="250"/>
      <c r="B86" s="213"/>
      <c r="C86" s="214"/>
      <c r="D86" s="214"/>
      <c r="E86" s="214"/>
      <c r="F86" s="214"/>
      <c r="G86" s="214"/>
    </row>
    <row r="87" spans="1:7" s="251" customFormat="1">
      <c r="A87" s="250"/>
      <c r="B87" s="213"/>
      <c r="C87" s="214"/>
      <c r="D87" s="214"/>
      <c r="E87" s="214"/>
      <c r="F87" s="214"/>
      <c r="G87" s="214"/>
    </row>
    <row r="88" spans="1:7" s="251" customFormat="1">
      <c r="A88" s="250"/>
      <c r="B88" s="213"/>
      <c r="C88" s="214"/>
      <c r="D88" s="214"/>
      <c r="E88" s="214"/>
      <c r="F88" s="214"/>
      <c r="G88" s="214"/>
    </row>
    <row r="89" spans="1:7" s="251" customFormat="1">
      <c r="A89" s="250"/>
      <c r="B89" s="213"/>
      <c r="C89" s="214"/>
      <c r="D89" s="214"/>
      <c r="E89" s="214"/>
      <c r="F89" s="214"/>
      <c r="G89" s="214"/>
    </row>
    <row r="90" spans="1:7" s="251" customFormat="1">
      <c r="A90" s="250"/>
      <c r="B90" s="213"/>
      <c r="C90" s="214"/>
      <c r="D90" s="214"/>
      <c r="E90" s="214"/>
      <c r="F90" s="214"/>
      <c r="G90" s="214"/>
    </row>
    <row r="91" spans="1:7" s="251" customFormat="1">
      <c r="A91" s="250"/>
      <c r="B91" s="213"/>
      <c r="C91" s="214"/>
      <c r="D91" s="214"/>
      <c r="E91" s="214"/>
      <c r="F91" s="214"/>
      <c r="G91" s="214"/>
    </row>
    <row r="92" spans="1:7" s="251" customFormat="1">
      <c r="A92" s="250"/>
      <c r="B92" s="213"/>
      <c r="C92" s="214"/>
      <c r="D92" s="214"/>
      <c r="E92" s="214"/>
      <c r="F92" s="214"/>
      <c r="G92" s="214"/>
    </row>
    <row r="93" spans="1:7" s="251" customFormat="1">
      <c r="A93" s="250"/>
      <c r="B93" s="213"/>
      <c r="C93" s="214"/>
      <c r="D93" s="214"/>
      <c r="E93" s="214"/>
      <c r="F93" s="214"/>
      <c r="G93" s="214"/>
    </row>
    <row r="94" spans="1:7" s="251" customFormat="1">
      <c r="A94" s="250"/>
      <c r="B94" s="213"/>
      <c r="C94" s="214"/>
      <c r="D94" s="214"/>
      <c r="E94" s="214"/>
      <c r="F94" s="214"/>
      <c r="G94" s="214"/>
    </row>
    <row r="95" spans="1:7" s="251" customFormat="1">
      <c r="A95" s="250"/>
      <c r="B95" s="213"/>
      <c r="C95" s="214"/>
      <c r="D95" s="214"/>
      <c r="E95" s="214"/>
      <c r="F95" s="214"/>
      <c r="G95" s="214"/>
    </row>
    <row r="96" spans="1:7" s="251" customFormat="1">
      <c r="A96" s="250"/>
      <c r="B96" s="213"/>
      <c r="C96" s="214"/>
      <c r="D96" s="214"/>
      <c r="E96" s="214"/>
      <c r="F96" s="214"/>
      <c r="G96" s="214"/>
    </row>
    <row r="97" spans="1:7" s="251" customFormat="1">
      <c r="A97" s="250"/>
      <c r="B97" s="213"/>
      <c r="C97" s="214"/>
      <c r="D97" s="214"/>
      <c r="E97" s="214"/>
      <c r="F97" s="214"/>
      <c r="G97" s="214"/>
    </row>
    <row r="98" spans="1:7" s="251" customFormat="1">
      <c r="A98" s="250"/>
      <c r="B98" s="213"/>
      <c r="C98" s="214"/>
      <c r="D98" s="214"/>
      <c r="E98" s="214"/>
      <c r="F98" s="214"/>
      <c r="G98" s="214"/>
    </row>
    <row r="99" spans="1:7" s="251" customFormat="1">
      <c r="A99" s="250"/>
      <c r="B99" s="213"/>
      <c r="C99" s="214"/>
      <c r="D99" s="214"/>
      <c r="E99" s="214"/>
      <c r="F99" s="214"/>
      <c r="G99" s="214"/>
    </row>
    <row r="100" spans="1:7" s="251" customFormat="1">
      <c r="A100" s="250"/>
      <c r="B100" s="213"/>
      <c r="C100" s="214"/>
      <c r="D100" s="214"/>
      <c r="E100" s="214"/>
      <c r="F100" s="214"/>
      <c r="G100" s="214"/>
    </row>
    <row r="101" spans="1:7" s="251" customFormat="1">
      <c r="A101" s="250"/>
      <c r="B101" s="213"/>
      <c r="C101" s="214"/>
      <c r="D101" s="214"/>
      <c r="E101" s="214"/>
      <c r="F101" s="214"/>
      <c r="G101" s="214"/>
    </row>
    <row r="102" spans="1:7" s="251" customFormat="1">
      <c r="A102" s="250"/>
      <c r="B102" s="213"/>
      <c r="C102" s="214"/>
      <c r="D102" s="214"/>
      <c r="E102" s="214"/>
      <c r="F102" s="214"/>
      <c r="G102" s="214"/>
    </row>
    <row r="103" spans="1:7" s="251" customFormat="1">
      <c r="A103" s="250"/>
      <c r="B103" s="213"/>
      <c r="C103" s="214"/>
      <c r="D103" s="214"/>
      <c r="E103" s="214"/>
      <c r="F103" s="214"/>
      <c r="G103" s="214"/>
    </row>
    <row r="104" spans="1:7" s="251" customFormat="1">
      <c r="A104" s="250"/>
      <c r="B104" s="213"/>
      <c r="C104" s="214"/>
      <c r="D104" s="214"/>
      <c r="E104" s="214"/>
      <c r="F104" s="214"/>
      <c r="G104" s="214"/>
    </row>
    <row r="105" spans="1:7" s="251" customFormat="1">
      <c r="A105" s="250"/>
      <c r="B105" s="213"/>
      <c r="C105" s="214"/>
      <c r="D105" s="214"/>
      <c r="E105" s="214"/>
      <c r="F105" s="214"/>
      <c r="G105" s="214"/>
    </row>
    <row r="106" spans="1:7" s="251" customFormat="1">
      <c r="A106" s="250"/>
      <c r="B106" s="213"/>
      <c r="C106" s="214"/>
      <c r="D106" s="214"/>
      <c r="E106" s="214"/>
      <c r="F106" s="214"/>
      <c r="G106" s="214"/>
    </row>
    <row r="107" spans="1:7" s="251" customFormat="1">
      <c r="A107" s="250"/>
      <c r="B107" s="213"/>
      <c r="C107" s="214"/>
      <c r="D107" s="214"/>
      <c r="E107" s="214"/>
      <c r="F107" s="214"/>
      <c r="G107" s="214"/>
    </row>
    <row r="108" spans="1:7" s="251" customFormat="1">
      <c r="A108" s="250"/>
      <c r="B108" s="213"/>
      <c r="C108" s="214"/>
      <c r="D108" s="214"/>
      <c r="E108" s="214"/>
      <c r="F108" s="214"/>
      <c r="G108" s="214"/>
    </row>
    <row r="109" spans="1:7" s="251" customFormat="1">
      <c r="A109" s="250"/>
      <c r="B109" s="213"/>
      <c r="C109" s="214"/>
      <c r="D109" s="214"/>
      <c r="E109" s="214"/>
      <c r="F109" s="214"/>
      <c r="G109" s="214"/>
    </row>
    <row r="110" spans="1:7" s="251" customFormat="1">
      <c r="A110" s="250"/>
      <c r="B110" s="213"/>
      <c r="C110" s="214"/>
      <c r="D110" s="214"/>
      <c r="E110" s="214"/>
      <c r="F110" s="214"/>
      <c r="G110" s="214"/>
    </row>
    <row r="111" spans="1:7" s="251" customFormat="1">
      <c r="A111" s="250"/>
      <c r="B111" s="213"/>
      <c r="C111" s="214"/>
      <c r="D111" s="214"/>
      <c r="E111" s="214"/>
      <c r="F111" s="214"/>
      <c r="G111" s="214"/>
    </row>
    <row r="112" spans="1:7" s="251" customFormat="1">
      <c r="A112" s="250"/>
      <c r="B112" s="213"/>
      <c r="C112" s="214"/>
      <c r="D112" s="214"/>
      <c r="E112" s="214"/>
      <c r="F112" s="214"/>
      <c r="G112" s="214"/>
    </row>
    <row r="113" spans="1:7" s="251" customFormat="1">
      <c r="A113" s="250"/>
      <c r="B113" s="213"/>
      <c r="C113" s="214"/>
      <c r="D113" s="214"/>
      <c r="E113" s="214"/>
      <c r="F113" s="214"/>
      <c r="G113" s="214"/>
    </row>
    <row r="114" spans="1:7" s="251" customFormat="1">
      <c r="A114" s="250"/>
      <c r="B114" s="213"/>
      <c r="C114" s="214"/>
      <c r="D114" s="214"/>
      <c r="E114" s="214"/>
      <c r="F114" s="214"/>
      <c r="G114" s="214"/>
    </row>
    <row r="115" spans="1:7" s="251" customFormat="1">
      <c r="A115" s="250"/>
      <c r="B115" s="213"/>
      <c r="C115" s="214"/>
      <c r="D115" s="214"/>
      <c r="E115" s="214"/>
      <c r="F115" s="214"/>
      <c r="G115" s="214"/>
    </row>
    <row r="116" spans="1:7" s="251" customFormat="1">
      <c r="A116" s="250"/>
      <c r="B116" s="213"/>
      <c r="C116" s="214"/>
      <c r="D116" s="214"/>
      <c r="E116" s="214"/>
      <c r="F116" s="214"/>
      <c r="G116" s="214"/>
    </row>
    <row r="117" spans="1:7" s="251" customFormat="1">
      <c r="A117" s="250"/>
      <c r="B117" s="213"/>
      <c r="C117" s="214"/>
      <c r="D117" s="214"/>
      <c r="E117" s="214"/>
      <c r="F117" s="214"/>
      <c r="G117" s="214"/>
    </row>
    <row r="118" spans="1:7" s="251" customFormat="1">
      <c r="A118" s="250"/>
      <c r="B118" s="213"/>
      <c r="C118" s="214"/>
      <c r="D118" s="214"/>
      <c r="E118" s="214"/>
      <c r="F118" s="214"/>
      <c r="G118" s="214"/>
    </row>
    <row r="119" spans="1:7" s="251" customFormat="1">
      <c r="A119" s="250"/>
      <c r="B119" s="213"/>
      <c r="C119" s="214"/>
      <c r="D119" s="214"/>
      <c r="E119" s="214"/>
      <c r="F119" s="214"/>
      <c r="G119" s="214"/>
    </row>
    <row r="120" spans="1:7" s="251" customFormat="1">
      <c r="A120" s="250"/>
      <c r="B120" s="213"/>
      <c r="C120" s="214"/>
      <c r="D120" s="214"/>
      <c r="E120" s="214"/>
      <c r="F120" s="214"/>
      <c r="G120" s="214"/>
    </row>
    <row r="121" spans="1:7" s="251" customFormat="1">
      <c r="A121" s="250"/>
      <c r="B121" s="213"/>
      <c r="C121" s="214"/>
      <c r="D121" s="214"/>
      <c r="E121" s="214"/>
      <c r="F121" s="214"/>
      <c r="G121" s="214"/>
    </row>
    <row r="122" spans="1:7" s="251" customFormat="1">
      <c r="A122" s="250"/>
      <c r="B122" s="213"/>
      <c r="C122" s="214"/>
      <c r="D122" s="214"/>
      <c r="E122" s="214"/>
      <c r="F122" s="214"/>
      <c r="G122" s="214"/>
    </row>
    <row r="123" spans="1:7" s="251" customFormat="1">
      <c r="A123" s="250"/>
      <c r="B123" s="213"/>
      <c r="C123" s="214"/>
      <c r="D123" s="214"/>
      <c r="E123" s="214"/>
      <c r="F123" s="214"/>
      <c r="G123" s="214"/>
    </row>
    <row r="124" spans="1:7" s="251" customFormat="1">
      <c r="A124" s="250"/>
      <c r="B124" s="213"/>
      <c r="C124" s="214"/>
      <c r="D124" s="214"/>
      <c r="E124" s="214"/>
      <c r="F124" s="214"/>
      <c r="G124" s="214"/>
    </row>
    <row r="125" spans="1:7" s="251" customFormat="1">
      <c r="A125" s="250"/>
      <c r="B125" s="213"/>
      <c r="C125" s="214"/>
      <c r="D125" s="214"/>
      <c r="E125" s="214"/>
      <c r="F125" s="214"/>
      <c r="G125" s="214"/>
    </row>
    <row r="126" spans="1:7" s="251" customFormat="1">
      <c r="A126" s="250"/>
      <c r="B126" s="213"/>
      <c r="C126" s="214"/>
      <c r="D126" s="214"/>
      <c r="E126" s="214"/>
      <c r="F126" s="214"/>
      <c r="G126" s="214"/>
    </row>
    <row r="127" spans="1:7" s="251" customFormat="1">
      <c r="A127" s="250"/>
      <c r="B127" s="213"/>
      <c r="C127" s="214"/>
      <c r="D127" s="214"/>
      <c r="E127" s="214"/>
      <c r="F127" s="214"/>
      <c r="G127" s="214"/>
    </row>
    <row r="128" spans="1:7" s="251" customFormat="1">
      <c r="A128" s="250"/>
      <c r="B128" s="213"/>
      <c r="C128" s="214"/>
      <c r="D128" s="214"/>
      <c r="E128" s="214"/>
      <c r="F128" s="214"/>
      <c r="G128" s="214"/>
    </row>
    <row r="129" spans="1:7" s="251" customFormat="1">
      <c r="A129" s="250"/>
      <c r="B129" s="213"/>
      <c r="C129" s="214"/>
      <c r="D129" s="214"/>
      <c r="E129" s="214"/>
      <c r="F129" s="214"/>
      <c r="G129" s="214"/>
    </row>
    <row r="130" spans="1:7" s="251" customFormat="1">
      <c r="A130" s="250"/>
      <c r="B130" s="213"/>
      <c r="C130" s="214"/>
      <c r="D130" s="214"/>
      <c r="E130" s="214"/>
      <c r="F130" s="214"/>
      <c r="G130" s="214"/>
    </row>
    <row r="131" spans="1:7" s="251" customFormat="1">
      <c r="A131" s="250"/>
      <c r="B131" s="213"/>
      <c r="C131" s="214"/>
      <c r="D131" s="214"/>
      <c r="E131" s="214"/>
      <c r="F131" s="214"/>
      <c r="G131" s="214"/>
    </row>
    <row r="132" spans="1:7" s="251" customFormat="1">
      <c r="A132" s="250"/>
      <c r="B132" s="213"/>
      <c r="C132" s="214"/>
      <c r="D132" s="214"/>
      <c r="E132" s="214"/>
      <c r="F132" s="214"/>
      <c r="G132" s="214"/>
    </row>
    <row r="133" spans="1:7" s="251" customFormat="1">
      <c r="A133" s="250"/>
      <c r="B133" s="213"/>
      <c r="C133" s="214"/>
      <c r="D133" s="214"/>
      <c r="E133" s="214"/>
      <c r="F133" s="214"/>
      <c r="G133" s="214"/>
    </row>
    <row r="134" spans="1:7" s="251" customFormat="1">
      <c r="A134" s="250"/>
      <c r="B134" s="213"/>
      <c r="C134" s="214"/>
      <c r="D134" s="214"/>
      <c r="E134" s="214"/>
      <c r="F134" s="214"/>
      <c r="G134" s="214"/>
    </row>
    <row r="135" spans="1:7" s="251" customFormat="1">
      <c r="A135" s="250"/>
      <c r="B135" s="213"/>
      <c r="C135" s="214"/>
      <c r="D135" s="214"/>
      <c r="E135" s="214"/>
      <c r="F135" s="214"/>
      <c r="G135" s="214"/>
    </row>
    <row r="136" spans="1:7" s="251" customFormat="1">
      <c r="A136" s="250"/>
      <c r="B136" s="213"/>
      <c r="C136" s="214"/>
      <c r="D136" s="214"/>
      <c r="E136" s="214"/>
      <c r="F136" s="214"/>
      <c r="G136" s="214"/>
    </row>
    <row r="137" spans="1:7" s="251" customFormat="1">
      <c r="A137" s="250"/>
      <c r="B137" s="213"/>
      <c r="C137" s="214"/>
      <c r="D137" s="214"/>
      <c r="E137" s="214"/>
      <c r="F137" s="214"/>
      <c r="G137" s="214"/>
    </row>
    <row r="138" spans="1:7" s="251" customFormat="1">
      <c r="A138" s="250"/>
      <c r="B138" s="213"/>
      <c r="C138" s="214"/>
      <c r="D138" s="214"/>
      <c r="E138" s="214"/>
      <c r="F138" s="214"/>
      <c r="G138" s="214"/>
    </row>
    <row r="139" spans="1:7" s="251" customFormat="1">
      <c r="A139" s="250"/>
      <c r="B139" s="213"/>
      <c r="C139" s="214"/>
      <c r="D139" s="214"/>
      <c r="E139" s="214"/>
      <c r="F139" s="214"/>
      <c r="G139" s="214"/>
    </row>
    <row r="140" spans="1:7" s="251" customFormat="1">
      <c r="A140" s="250"/>
      <c r="B140" s="213"/>
      <c r="C140" s="214"/>
      <c r="D140" s="214"/>
      <c r="E140" s="214"/>
      <c r="F140" s="214"/>
      <c r="G140" s="214"/>
    </row>
    <row r="141" spans="1:7" s="251" customFormat="1">
      <c r="A141" s="250"/>
      <c r="B141" s="213"/>
      <c r="C141" s="214"/>
      <c r="D141" s="214"/>
      <c r="E141" s="214"/>
      <c r="F141" s="214"/>
      <c r="G141" s="214"/>
    </row>
    <row r="142" spans="1:7" s="251" customFormat="1">
      <c r="A142" s="250"/>
      <c r="B142" s="213"/>
      <c r="C142" s="214"/>
      <c r="D142" s="214"/>
      <c r="E142" s="214"/>
      <c r="F142" s="214"/>
      <c r="G142" s="214"/>
    </row>
    <row r="143" spans="1:7" s="251" customFormat="1">
      <c r="A143" s="250"/>
      <c r="B143" s="213"/>
      <c r="C143" s="214"/>
      <c r="D143" s="214"/>
      <c r="E143" s="214"/>
      <c r="F143" s="214"/>
      <c r="G143" s="214"/>
    </row>
    <row r="144" spans="1:7" s="251" customFormat="1">
      <c r="A144" s="250"/>
      <c r="B144" s="213"/>
      <c r="C144" s="214"/>
      <c r="D144" s="214"/>
      <c r="E144" s="214"/>
      <c r="F144" s="214"/>
      <c r="G144" s="214"/>
    </row>
    <row r="145" spans="1:7" s="251" customFormat="1">
      <c r="A145" s="250"/>
      <c r="B145" s="213"/>
      <c r="C145" s="214"/>
      <c r="D145" s="214"/>
      <c r="E145" s="214"/>
      <c r="F145" s="214"/>
      <c r="G145" s="214"/>
    </row>
    <row r="146" spans="1:7" s="251" customFormat="1">
      <c r="A146" s="250"/>
      <c r="B146" s="213"/>
      <c r="C146" s="214"/>
      <c r="D146" s="214"/>
      <c r="E146" s="214"/>
      <c r="F146" s="214"/>
      <c r="G146" s="214"/>
    </row>
    <row r="147" spans="1:7" s="251" customFormat="1">
      <c r="A147" s="250"/>
      <c r="B147" s="213"/>
      <c r="C147" s="214"/>
      <c r="D147" s="214"/>
      <c r="E147" s="214"/>
      <c r="F147" s="214"/>
      <c r="G147" s="214"/>
    </row>
    <row r="148" spans="1:7" s="251" customFormat="1">
      <c r="A148" s="250"/>
      <c r="B148" s="213"/>
      <c r="C148" s="214"/>
      <c r="D148" s="214"/>
      <c r="E148" s="214"/>
      <c r="F148" s="214"/>
      <c r="G148" s="214"/>
    </row>
    <row r="149" spans="1:7" s="251" customFormat="1">
      <c r="A149" s="250"/>
      <c r="B149" s="213"/>
      <c r="C149" s="214"/>
      <c r="D149" s="214"/>
      <c r="E149" s="214"/>
      <c r="F149" s="214"/>
      <c r="G149" s="214"/>
    </row>
    <row r="150" spans="1:7" s="251" customFormat="1">
      <c r="A150" s="250"/>
      <c r="B150" s="213"/>
      <c r="C150" s="214"/>
      <c r="D150" s="214"/>
      <c r="E150" s="214"/>
      <c r="F150" s="214"/>
      <c r="G150" s="214"/>
    </row>
    <row r="151" spans="1:7" s="251" customFormat="1">
      <c r="A151" s="250"/>
      <c r="B151" s="213"/>
      <c r="C151" s="214"/>
      <c r="D151" s="214"/>
      <c r="E151" s="214"/>
      <c r="F151" s="214"/>
      <c r="G151" s="214"/>
    </row>
    <row r="152" spans="1:7" s="251" customFormat="1">
      <c r="A152" s="250"/>
      <c r="B152" s="213"/>
      <c r="C152" s="214"/>
      <c r="D152" s="214"/>
      <c r="E152" s="214"/>
      <c r="F152" s="214"/>
      <c r="G152" s="214"/>
    </row>
    <row r="153" spans="1:7" s="251" customFormat="1">
      <c r="A153" s="250"/>
      <c r="B153" s="213"/>
      <c r="C153" s="214"/>
      <c r="D153" s="214"/>
      <c r="E153" s="214"/>
      <c r="F153" s="214"/>
      <c r="G153" s="214"/>
    </row>
    <row r="154" spans="1:7" s="251" customFormat="1">
      <c r="A154" s="250"/>
      <c r="B154" s="213"/>
      <c r="C154" s="214"/>
      <c r="D154" s="214"/>
      <c r="E154" s="214"/>
      <c r="F154" s="214"/>
      <c r="G154" s="214"/>
    </row>
    <row r="155" spans="1:7" s="251" customFormat="1">
      <c r="A155" s="250"/>
      <c r="B155" s="213"/>
      <c r="C155" s="214"/>
      <c r="D155" s="214"/>
      <c r="E155" s="214"/>
      <c r="F155" s="214"/>
      <c r="G155" s="214"/>
    </row>
    <row r="156" spans="1:7" s="251" customFormat="1">
      <c r="A156" s="250"/>
      <c r="B156" s="213"/>
      <c r="C156" s="214"/>
      <c r="D156" s="214"/>
      <c r="E156" s="214"/>
      <c r="F156" s="214"/>
      <c r="G156" s="214"/>
    </row>
    <row r="157" spans="1:7" s="251" customFormat="1">
      <c r="A157" s="250"/>
      <c r="B157" s="213"/>
      <c r="C157" s="214"/>
      <c r="D157" s="214"/>
      <c r="E157" s="214"/>
      <c r="F157" s="214"/>
      <c r="G157" s="214"/>
    </row>
    <row r="158" spans="1:7" s="251" customFormat="1">
      <c r="A158" s="250"/>
      <c r="B158" s="213"/>
      <c r="C158" s="214"/>
      <c r="D158" s="214"/>
      <c r="E158" s="214"/>
      <c r="F158" s="214"/>
      <c r="G158" s="214"/>
    </row>
    <row r="159" spans="1:7" s="251" customFormat="1">
      <c r="A159" s="250"/>
      <c r="B159" s="213"/>
      <c r="C159" s="214"/>
      <c r="D159" s="214"/>
      <c r="E159" s="214"/>
      <c r="F159" s="214"/>
      <c r="G159" s="214"/>
    </row>
    <row r="160" spans="1:7" s="251" customFormat="1">
      <c r="A160" s="250"/>
      <c r="B160" s="213"/>
      <c r="C160" s="214"/>
      <c r="D160" s="214"/>
      <c r="E160" s="214"/>
      <c r="F160" s="214"/>
      <c r="G160" s="214"/>
    </row>
    <row r="161" spans="1:7" s="251" customFormat="1">
      <c r="A161" s="250"/>
      <c r="B161" s="213"/>
      <c r="C161" s="214"/>
      <c r="D161" s="214"/>
      <c r="E161" s="214"/>
      <c r="F161" s="214"/>
      <c r="G161" s="214"/>
    </row>
    <row r="162" spans="1:7" s="251" customFormat="1">
      <c r="A162" s="250"/>
      <c r="B162" s="213"/>
      <c r="C162" s="214"/>
      <c r="D162" s="214"/>
      <c r="E162" s="214"/>
      <c r="F162" s="214"/>
      <c r="G162" s="214"/>
    </row>
    <row r="163" spans="1:7" s="251" customFormat="1">
      <c r="A163" s="250"/>
      <c r="B163" s="213"/>
      <c r="C163" s="214"/>
      <c r="D163" s="214"/>
      <c r="E163" s="214"/>
      <c r="F163" s="214"/>
      <c r="G163" s="214"/>
    </row>
    <row r="164" spans="1:7" s="251" customFormat="1">
      <c r="A164" s="250"/>
      <c r="B164" s="213"/>
      <c r="C164" s="214"/>
      <c r="D164" s="214"/>
      <c r="E164" s="214"/>
      <c r="F164" s="214"/>
      <c r="G164" s="214"/>
    </row>
    <row r="165" spans="1:7" s="251" customFormat="1">
      <c r="A165" s="250"/>
      <c r="B165" s="213"/>
      <c r="C165" s="214"/>
      <c r="D165" s="214"/>
      <c r="E165" s="214"/>
      <c r="F165" s="214"/>
      <c r="G165" s="214"/>
    </row>
    <row r="166" spans="1:7" s="251" customFormat="1">
      <c r="A166" s="250"/>
      <c r="B166" s="213"/>
      <c r="C166" s="214"/>
      <c r="D166" s="214"/>
      <c r="E166" s="214"/>
      <c r="F166" s="214"/>
      <c r="G166" s="214"/>
    </row>
    <row r="167" spans="1:7" s="251" customFormat="1">
      <c r="A167" s="250"/>
      <c r="B167" s="213"/>
      <c r="C167" s="214"/>
      <c r="D167" s="214"/>
      <c r="E167" s="214"/>
      <c r="F167" s="214"/>
      <c r="G167" s="214"/>
    </row>
    <row r="168" spans="1:7" s="251" customFormat="1">
      <c r="A168" s="250"/>
      <c r="B168" s="213"/>
      <c r="C168" s="214"/>
      <c r="D168" s="214"/>
      <c r="E168" s="214"/>
      <c r="F168" s="214"/>
      <c r="G168" s="214"/>
    </row>
    <row r="169" spans="1:7" s="251" customFormat="1">
      <c r="A169" s="250"/>
      <c r="B169" s="213"/>
      <c r="C169" s="214"/>
      <c r="D169" s="214"/>
      <c r="E169" s="214"/>
      <c r="F169" s="214"/>
      <c r="G169" s="214"/>
    </row>
    <row r="170" spans="1:7" s="251" customFormat="1">
      <c r="A170" s="250"/>
      <c r="B170" s="213"/>
      <c r="C170" s="214"/>
      <c r="D170" s="214"/>
      <c r="E170" s="214"/>
      <c r="F170" s="214"/>
      <c r="G170" s="214"/>
    </row>
    <row r="171" spans="1:7" s="251" customFormat="1">
      <c r="A171" s="250"/>
      <c r="B171" s="213"/>
      <c r="C171" s="214"/>
      <c r="D171" s="214"/>
      <c r="E171" s="214"/>
      <c r="F171" s="214"/>
      <c r="G171" s="214"/>
    </row>
    <row r="172" spans="1:7" s="251" customFormat="1">
      <c r="A172" s="250"/>
      <c r="B172" s="213"/>
      <c r="C172" s="214"/>
      <c r="D172" s="214"/>
      <c r="E172" s="214"/>
      <c r="F172" s="214"/>
      <c r="G172" s="214"/>
    </row>
    <row r="173" spans="1:7" s="251" customFormat="1">
      <c r="A173" s="250"/>
      <c r="B173" s="213"/>
      <c r="C173" s="214"/>
      <c r="D173" s="214"/>
      <c r="E173" s="214"/>
      <c r="F173" s="214"/>
      <c r="G173" s="214"/>
    </row>
    <row r="174" spans="1:7" s="251" customFormat="1">
      <c r="A174" s="250"/>
      <c r="B174" s="213"/>
      <c r="C174" s="214"/>
      <c r="D174" s="214"/>
      <c r="E174" s="214"/>
      <c r="F174" s="214"/>
      <c r="G174" s="214"/>
    </row>
    <row r="175" spans="1:7" s="251" customFormat="1">
      <c r="A175" s="250"/>
      <c r="B175" s="213"/>
      <c r="C175" s="214"/>
      <c r="D175" s="214"/>
      <c r="E175" s="214"/>
      <c r="F175" s="214"/>
      <c r="G175" s="214"/>
    </row>
    <row r="176" spans="1:7" s="251" customFormat="1">
      <c r="A176" s="250"/>
      <c r="B176" s="213"/>
      <c r="C176" s="214"/>
      <c r="D176" s="214"/>
      <c r="E176" s="214"/>
      <c r="F176" s="214"/>
      <c r="G176" s="214"/>
    </row>
    <row r="177" spans="1:7" s="251" customFormat="1">
      <c r="A177" s="250"/>
      <c r="B177" s="213"/>
      <c r="C177" s="214"/>
      <c r="D177" s="214"/>
      <c r="E177" s="214"/>
      <c r="F177" s="214"/>
      <c r="G177" s="214"/>
    </row>
    <row r="178" spans="1:7" s="251" customFormat="1">
      <c r="A178" s="250"/>
      <c r="B178" s="213"/>
      <c r="C178" s="214"/>
      <c r="D178" s="214"/>
      <c r="E178" s="214"/>
      <c r="F178" s="214"/>
      <c r="G178" s="214"/>
    </row>
    <row r="179" spans="1:7" s="251" customFormat="1">
      <c r="A179" s="250"/>
      <c r="B179" s="213"/>
      <c r="C179" s="214"/>
      <c r="D179" s="214"/>
      <c r="E179" s="214"/>
      <c r="F179" s="214"/>
      <c r="G179" s="214"/>
    </row>
    <row r="180" spans="1:7" s="251" customFormat="1">
      <c r="A180" s="250"/>
      <c r="B180" s="213"/>
      <c r="C180" s="214"/>
      <c r="D180" s="214"/>
      <c r="E180" s="214"/>
      <c r="F180" s="214"/>
      <c r="G180" s="214"/>
    </row>
    <row r="181" spans="1:7" s="251" customFormat="1">
      <c r="A181" s="250"/>
      <c r="B181" s="213"/>
      <c r="C181" s="214"/>
      <c r="D181" s="214"/>
      <c r="E181" s="214"/>
      <c r="F181" s="214"/>
      <c r="G181" s="214"/>
    </row>
    <row r="182" spans="1:7" s="251" customFormat="1">
      <c r="A182" s="250"/>
      <c r="B182" s="213"/>
      <c r="C182" s="214"/>
      <c r="D182" s="214"/>
      <c r="E182" s="214"/>
      <c r="F182" s="214"/>
      <c r="G182" s="214"/>
    </row>
    <row r="183" spans="1:7" s="251" customFormat="1">
      <c r="A183" s="250"/>
      <c r="B183" s="213"/>
      <c r="C183" s="214"/>
      <c r="D183" s="214"/>
      <c r="E183" s="214"/>
      <c r="F183" s="214"/>
      <c r="G183" s="214"/>
    </row>
    <row r="184" spans="1:7" s="251" customFormat="1">
      <c r="A184" s="250"/>
      <c r="B184" s="213"/>
      <c r="C184" s="214"/>
      <c r="D184" s="214"/>
      <c r="E184" s="214"/>
      <c r="F184" s="214"/>
      <c r="G184" s="214"/>
    </row>
    <row r="185" spans="1:7" s="251" customFormat="1">
      <c r="A185" s="250"/>
      <c r="B185" s="213"/>
      <c r="C185" s="214"/>
      <c r="D185" s="214"/>
      <c r="E185" s="214"/>
      <c r="F185" s="214"/>
      <c r="G185" s="214"/>
    </row>
    <row r="186" spans="1:7" s="251" customFormat="1">
      <c r="A186" s="250"/>
      <c r="B186" s="213"/>
      <c r="C186" s="214"/>
      <c r="D186" s="214"/>
      <c r="E186" s="214"/>
      <c r="F186" s="214"/>
      <c r="G186" s="214"/>
    </row>
    <row r="187" spans="1:7" s="251" customFormat="1">
      <c r="A187" s="250"/>
      <c r="B187" s="213"/>
      <c r="C187" s="214"/>
      <c r="D187" s="214"/>
      <c r="E187" s="214"/>
      <c r="F187" s="214"/>
      <c r="G187" s="214"/>
    </row>
    <row r="188" spans="1:7" s="251" customFormat="1">
      <c r="A188" s="250"/>
      <c r="B188" s="213"/>
      <c r="C188" s="214"/>
      <c r="D188" s="214"/>
      <c r="E188" s="214"/>
      <c r="F188" s="214"/>
      <c r="G188" s="214"/>
    </row>
    <row r="189" spans="1:7" s="251" customFormat="1">
      <c r="A189" s="250"/>
      <c r="B189" s="213"/>
      <c r="C189" s="214"/>
      <c r="D189" s="214"/>
      <c r="E189" s="214"/>
      <c r="F189" s="214"/>
      <c r="G189" s="214"/>
    </row>
    <row r="190" spans="1:7" s="251" customFormat="1">
      <c r="A190" s="250"/>
      <c r="B190" s="213"/>
      <c r="C190" s="214"/>
      <c r="D190" s="214"/>
      <c r="E190" s="214"/>
      <c r="F190" s="214"/>
      <c r="G190" s="214"/>
    </row>
    <row r="191" spans="1:7" s="251" customFormat="1">
      <c r="A191" s="250"/>
      <c r="B191" s="213"/>
      <c r="C191" s="214"/>
      <c r="D191" s="214"/>
      <c r="E191" s="214"/>
      <c r="F191" s="214"/>
      <c r="G191" s="214"/>
    </row>
    <row r="192" spans="1:7" s="251" customFormat="1">
      <c r="A192" s="250"/>
      <c r="B192" s="213"/>
      <c r="C192" s="214"/>
      <c r="D192" s="214"/>
      <c r="E192" s="214"/>
      <c r="F192" s="214"/>
      <c r="G192" s="214"/>
    </row>
    <row r="193" spans="1:7" s="251" customFormat="1">
      <c r="A193" s="250"/>
      <c r="B193" s="213"/>
      <c r="C193" s="214"/>
      <c r="D193" s="214"/>
      <c r="E193" s="214"/>
      <c r="F193" s="214"/>
      <c r="G193" s="214"/>
    </row>
    <row r="194" spans="1:7" s="251" customFormat="1">
      <c r="A194" s="250"/>
      <c r="B194" s="213"/>
      <c r="C194" s="214"/>
      <c r="D194" s="214"/>
      <c r="E194" s="214"/>
      <c r="F194" s="214"/>
      <c r="G194" s="214"/>
    </row>
    <row r="195" spans="1:7" s="251" customFormat="1">
      <c r="A195" s="250"/>
      <c r="B195" s="213"/>
      <c r="C195" s="214"/>
      <c r="D195" s="214"/>
      <c r="E195" s="214"/>
      <c r="F195" s="214"/>
      <c r="G195" s="214"/>
    </row>
    <row r="196" spans="1:7" s="251" customFormat="1">
      <c r="A196" s="250"/>
      <c r="B196" s="213"/>
      <c r="C196" s="214"/>
      <c r="D196" s="214"/>
      <c r="E196" s="214"/>
      <c r="F196" s="214"/>
      <c r="G196" s="214"/>
    </row>
    <row r="197" spans="1:7" s="251" customFormat="1">
      <c r="A197" s="250"/>
      <c r="B197" s="213"/>
      <c r="C197" s="214"/>
      <c r="D197" s="214"/>
      <c r="E197" s="214"/>
      <c r="F197" s="214"/>
      <c r="G197" s="214"/>
    </row>
    <row r="198" spans="1:7" s="251" customFormat="1">
      <c r="A198" s="250"/>
      <c r="B198" s="213"/>
      <c r="C198" s="214"/>
      <c r="D198" s="214"/>
      <c r="E198" s="214"/>
      <c r="F198" s="214"/>
      <c r="G198" s="214"/>
    </row>
    <row r="199" spans="1:7" s="251" customFormat="1">
      <c r="A199" s="250"/>
      <c r="B199" s="213"/>
      <c r="C199" s="214"/>
      <c r="D199" s="214"/>
      <c r="E199" s="214"/>
      <c r="F199" s="214"/>
      <c r="G199" s="214"/>
    </row>
    <row r="200" spans="1:7" s="251" customFormat="1">
      <c r="A200" s="250"/>
      <c r="B200" s="213"/>
      <c r="C200" s="214"/>
      <c r="D200" s="214"/>
      <c r="E200" s="214"/>
      <c r="F200" s="214"/>
      <c r="G200" s="214"/>
    </row>
    <row r="201" spans="1:7" s="251" customFormat="1">
      <c r="A201" s="250"/>
      <c r="B201" s="213"/>
      <c r="C201" s="214"/>
      <c r="D201" s="214"/>
      <c r="E201" s="214"/>
      <c r="F201" s="214"/>
      <c r="G201" s="214"/>
    </row>
    <row r="202" spans="1:7" s="251" customFormat="1">
      <c r="A202" s="250"/>
      <c r="B202" s="213"/>
      <c r="C202" s="214"/>
      <c r="D202" s="214"/>
      <c r="E202" s="214"/>
      <c r="F202" s="214"/>
      <c r="G202" s="214"/>
    </row>
    <row r="203" spans="1:7" s="251" customFormat="1">
      <c r="A203" s="250"/>
      <c r="B203" s="213"/>
      <c r="C203" s="214"/>
      <c r="D203" s="214"/>
      <c r="E203" s="214"/>
      <c r="F203" s="214"/>
      <c r="G203" s="214"/>
    </row>
    <row r="204" spans="1:7" s="251" customFormat="1">
      <c r="A204" s="250"/>
      <c r="B204" s="213"/>
      <c r="C204" s="214"/>
      <c r="D204" s="214"/>
      <c r="E204" s="214"/>
      <c r="F204" s="214"/>
      <c r="G204" s="214"/>
    </row>
    <row r="205" spans="1:7" s="251" customFormat="1">
      <c r="A205" s="250"/>
      <c r="B205" s="213"/>
      <c r="C205" s="214"/>
      <c r="D205" s="214"/>
      <c r="E205" s="214"/>
      <c r="F205" s="214"/>
      <c r="G205" s="214"/>
    </row>
    <row r="206" spans="1:7" s="251" customFormat="1">
      <c r="A206" s="250"/>
      <c r="B206" s="213"/>
      <c r="C206" s="214"/>
      <c r="D206" s="214"/>
      <c r="E206" s="214"/>
      <c r="F206" s="214"/>
      <c r="G206" s="214"/>
    </row>
    <row r="207" spans="1:7" s="251" customFormat="1">
      <c r="A207" s="250"/>
      <c r="B207" s="213"/>
      <c r="C207" s="214"/>
      <c r="D207" s="214"/>
      <c r="E207" s="214"/>
      <c r="F207" s="214"/>
      <c r="G207" s="214"/>
    </row>
    <row r="208" spans="1:7" s="251" customFormat="1">
      <c r="A208" s="250"/>
      <c r="B208" s="213"/>
      <c r="C208" s="214"/>
      <c r="D208" s="214"/>
      <c r="E208" s="214"/>
      <c r="F208" s="214"/>
      <c r="G208" s="214"/>
    </row>
    <row r="209" spans="1:7" s="251" customFormat="1">
      <c r="A209" s="250"/>
      <c r="B209" s="213"/>
      <c r="C209" s="214"/>
      <c r="D209" s="214"/>
      <c r="E209" s="214"/>
      <c r="F209" s="214"/>
      <c r="G209" s="214"/>
    </row>
    <row r="210" spans="1:7" s="251" customFormat="1">
      <c r="A210" s="250"/>
      <c r="B210" s="213"/>
      <c r="C210" s="214"/>
      <c r="D210" s="214"/>
      <c r="E210" s="214"/>
      <c r="F210" s="214"/>
      <c r="G210" s="214"/>
    </row>
    <row r="211" spans="1:7" s="251" customFormat="1">
      <c r="A211" s="250"/>
      <c r="B211" s="213"/>
      <c r="C211" s="214"/>
      <c r="D211" s="214"/>
      <c r="E211" s="214"/>
      <c r="F211" s="214"/>
      <c r="G211" s="214"/>
    </row>
    <row r="212" spans="1:7" s="251" customFormat="1">
      <c r="A212" s="250"/>
      <c r="B212" s="213"/>
      <c r="C212" s="214"/>
      <c r="D212" s="214"/>
      <c r="E212" s="214"/>
      <c r="F212" s="214"/>
      <c r="G212" s="214"/>
    </row>
    <row r="213" spans="1:7" s="251" customFormat="1">
      <c r="A213" s="250"/>
      <c r="B213" s="213"/>
      <c r="C213" s="214"/>
      <c r="D213" s="214"/>
      <c r="E213" s="214"/>
      <c r="F213" s="214"/>
      <c r="G213" s="214"/>
    </row>
    <row r="214" spans="1:7" s="251" customFormat="1">
      <c r="A214" s="250"/>
      <c r="B214" s="213"/>
      <c r="C214" s="214"/>
      <c r="D214" s="214"/>
      <c r="E214" s="214"/>
      <c r="F214" s="214"/>
      <c r="G214" s="214"/>
    </row>
    <row r="215" spans="1:7" s="251" customFormat="1">
      <c r="A215" s="250"/>
      <c r="B215" s="213"/>
      <c r="C215" s="214"/>
      <c r="D215" s="214"/>
      <c r="E215" s="214"/>
      <c r="F215" s="214"/>
      <c r="G215" s="214"/>
    </row>
    <row r="216" spans="1:7" s="251" customFormat="1">
      <c r="A216" s="250"/>
      <c r="B216" s="213"/>
      <c r="C216" s="214"/>
      <c r="D216" s="214"/>
      <c r="E216" s="214"/>
      <c r="F216" s="214"/>
      <c r="G216" s="214"/>
    </row>
    <row r="217" spans="1:7" s="251" customFormat="1">
      <c r="A217" s="250"/>
      <c r="B217" s="213"/>
      <c r="C217" s="214"/>
      <c r="D217" s="214"/>
      <c r="E217" s="214"/>
      <c r="F217" s="214"/>
      <c r="G217" s="214"/>
    </row>
    <row r="218" spans="1:7" s="251" customFormat="1">
      <c r="A218" s="250"/>
      <c r="B218" s="213"/>
      <c r="C218" s="214"/>
      <c r="D218" s="214"/>
      <c r="E218" s="214"/>
      <c r="F218" s="214"/>
      <c r="G218" s="214"/>
    </row>
    <row r="219" spans="1:7" s="251" customFormat="1">
      <c r="A219" s="250"/>
      <c r="B219" s="213"/>
      <c r="C219" s="214"/>
      <c r="D219" s="214"/>
      <c r="E219" s="214"/>
      <c r="F219" s="214"/>
      <c r="G219" s="214"/>
    </row>
    <row r="220" spans="1:7" s="251" customFormat="1">
      <c r="A220" s="250"/>
      <c r="B220" s="213"/>
      <c r="C220" s="214"/>
      <c r="D220" s="214"/>
      <c r="E220" s="214"/>
      <c r="F220" s="214"/>
      <c r="G220" s="214"/>
    </row>
    <row r="221" spans="1:7" s="251" customFormat="1">
      <c r="A221" s="250"/>
      <c r="B221" s="213"/>
      <c r="C221" s="214"/>
      <c r="D221" s="214"/>
      <c r="E221" s="214"/>
      <c r="F221" s="214"/>
      <c r="G221" s="214"/>
    </row>
    <row r="222" spans="1:7" s="251" customFormat="1">
      <c r="A222" s="250"/>
      <c r="B222" s="213"/>
      <c r="C222" s="214"/>
      <c r="D222" s="214"/>
      <c r="E222" s="214"/>
      <c r="F222" s="214"/>
      <c r="G222" s="214"/>
    </row>
    <row r="223" spans="1:7" s="251" customFormat="1">
      <c r="A223" s="250"/>
      <c r="B223" s="213"/>
      <c r="C223" s="214"/>
      <c r="D223" s="214"/>
      <c r="E223" s="214"/>
      <c r="F223" s="214"/>
      <c r="G223" s="214"/>
    </row>
    <row r="224" spans="1:7" s="251" customFormat="1">
      <c r="A224" s="250"/>
      <c r="B224" s="213"/>
      <c r="C224" s="214"/>
      <c r="D224" s="214"/>
      <c r="E224" s="214"/>
      <c r="F224" s="214"/>
      <c r="G224" s="214"/>
    </row>
    <row r="225" spans="1:7" s="251" customFormat="1">
      <c r="A225" s="250"/>
      <c r="B225" s="213"/>
      <c r="C225" s="214"/>
      <c r="D225" s="214"/>
      <c r="E225" s="214"/>
      <c r="F225" s="214"/>
      <c r="G225" s="214"/>
    </row>
    <row r="226" spans="1:7" s="251" customFormat="1">
      <c r="A226" s="250"/>
      <c r="B226" s="213"/>
      <c r="C226" s="214"/>
      <c r="D226" s="214"/>
      <c r="E226" s="214"/>
      <c r="F226" s="214"/>
      <c r="G226" s="214"/>
    </row>
    <row r="227" spans="1:7" s="251" customFormat="1">
      <c r="A227" s="250"/>
      <c r="B227" s="213"/>
      <c r="C227" s="214"/>
      <c r="D227" s="214"/>
      <c r="E227" s="214"/>
      <c r="F227" s="214"/>
      <c r="G227" s="214"/>
    </row>
    <row r="228" spans="1:7" s="251" customFormat="1">
      <c r="A228" s="250"/>
      <c r="B228" s="213"/>
      <c r="C228" s="214"/>
      <c r="D228" s="214"/>
      <c r="E228" s="214"/>
      <c r="F228" s="214"/>
      <c r="G228" s="214"/>
    </row>
    <row r="229" spans="1:7" s="251" customFormat="1">
      <c r="A229" s="250"/>
      <c r="B229" s="213"/>
      <c r="C229" s="214"/>
      <c r="D229" s="214"/>
      <c r="E229" s="214"/>
      <c r="F229" s="214"/>
      <c r="G229" s="214"/>
    </row>
    <row r="230" spans="1:7" s="251" customFormat="1">
      <c r="A230" s="250"/>
      <c r="B230" s="213"/>
      <c r="C230" s="214"/>
      <c r="D230" s="214"/>
      <c r="E230" s="214"/>
      <c r="F230" s="214"/>
      <c r="G230" s="214"/>
    </row>
    <row r="231" spans="1:7" s="251" customFormat="1">
      <c r="A231" s="250"/>
      <c r="B231" s="213"/>
      <c r="C231" s="214"/>
      <c r="D231" s="214"/>
      <c r="E231" s="214"/>
      <c r="F231" s="214"/>
      <c r="G231" s="214"/>
    </row>
    <row r="232" spans="1:7" s="251" customFormat="1">
      <c r="A232" s="250"/>
      <c r="B232" s="213"/>
      <c r="C232" s="214"/>
      <c r="D232" s="214"/>
      <c r="E232" s="214"/>
      <c r="F232" s="214"/>
      <c r="G232" s="214"/>
    </row>
    <row r="233" spans="1:7" s="251" customFormat="1">
      <c r="A233" s="250"/>
      <c r="B233" s="213"/>
      <c r="C233" s="214"/>
      <c r="D233" s="214"/>
      <c r="E233" s="214"/>
      <c r="F233" s="214"/>
      <c r="G233" s="214"/>
    </row>
    <row r="234" spans="1:7" s="251" customFormat="1">
      <c r="A234" s="250"/>
      <c r="B234" s="213"/>
      <c r="C234" s="214"/>
      <c r="D234" s="214"/>
      <c r="E234" s="214"/>
      <c r="F234" s="214"/>
      <c r="G234" s="214"/>
    </row>
    <row r="235" spans="1:7" s="251" customFormat="1">
      <c r="A235" s="250"/>
      <c r="B235" s="213"/>
      <c r="C235" s="214"/>
      <c r="D235" s="214"/>
      <c r="E235" s="214"/>
      <c r="F235" s="214"/>
      <c r="G235" s="214"/>
    </row>
    <row r="236" spans="1:7" s="251" customFormat="1">
      <c r="A236" s="250"/>
      <c r="B236" s="213"/>
      <c r="C236" s="214"/>
      <c r="D236" s="214"/>
      <c r="E236" s="214"/>
      <c r="F236" s="214"/>
      <c r="G236" s="214"/>
    </row>
    <row r="237" spans="1:7" s="251" customFormat="1">
      <c r="A237" s="250"/>
      <c r="B237" s="213"/>
      <c r="C237" s="214"/>
      <c r="D237" s="214"/>
      <c r="E237" s="214"/>
      <c r="F237" s="214"/>
      <c r="G237" s="214"/>
    </row>
    <row r="238" spans="1:7" s="251" customFormat="1">
      <c r="A238" s="250"/>
      <c r="B238" s="213"/>
      <c r="C238" s="214"/>
      <c r="D238" s="214"/>
      <c r="E238" s="214"/>
      <c r="F238" s="214"/>
      <c r="G238" s="214"/>
    </row>
    <row r="239" spans="1:7" s="251" customFormat="1">
      <c r="A239" s="250"/>
      <c r="B239" s="213"/>
      <c r="C239" s="214"/>
      <c r="D239" s="214"/>
      <c r="E239" s="214"/>
      <c r="F239" s="214"/>
      <c r="G239" s="214"/>
    </row>
    <row r="240" spans="1:7" s="251" customFormat="1">
      <c r="A240" s="250"/>
      <c r="B240" s="213"/>
      <c r="C240" s="214"/>
      <c r="D240" s="214"/>
      <c r="E240" s="214"/>
      <c r="F240" s="214"/>
      <c r="G240" s="214"/>
    </row>
    <row r="241" spans="1:7" s="251" customFormat="1">
      <c r="A241" s="250"/>
      <c r="B241" s="213"/>
      <c r="C241" s="214"/>
      <c r="D241" s="214"/>
      <c r="E241" s="214"/>
      <c r="F241" s="214"/>
      <c r="G241" s="214"/>
    </row>
    <row r="242" spans="1:7" s="251" customFormat="1">
      <c r="A242" s="250"/>
      <c r="B242" s="213"/>
      <c r="C242" s="214"/>
      <c r="D242" s="214"/>
      <c r="E242" s="214"/>
      <c r="F242" s="214"/>
      <c r="G242" s="214"/>
    </row>
    <row r="243" spans="1:7" s="251" customFormat="1">
      <c r="A243" s="250"/>
      <c r="B243" s="213"/>
      <c r="C243" s="214"/>
      <c r="D243" s="214"/>
      <c r="E243" s="214"/>
      <c r="F243" s="214"/>
      <c r="G243" s="214"/>
    </row>
    <row r="244" spans="1:7" s="251" customFormat="1">
      <c r="A244" s="250"/>
      <c r="B244" s="213"/>
      <c r="C244" s="214"/>
      <c r="D244" s="214"/>
      <c r="E244" s="214"/>
      <c r="F244" s="214"/>
      <c r="G244" s="214"/>
    </row>
    <row r="245" spans="1:7" s="251" customFormat="1">
      <c r="A245" s="250"/>
      <c r="B245" s="213"/>
      <c r="C245" s="214"/>
      <c r="D245" s="214"/>
      <c r="E245" s="214"/>
      <c r="F245" s="214"/>
      <c r="G245" s="214"/>
    </row>
    <row r="246" spans="1:7" s="251" customFormat="1">
      <c r="A246" s="250"/>
      <c r="B246" s="213"/>
      <c r="C246" s="214"/>
      <c r="D246" s="214"/>
      <c r="E246" s="214"/>
      <c r="F246" s="214"/>
      <c r="G246" s="214"/>
    </row>
    <row r="247" spans="1:7" s="251" customFormat="1">
      <c r="A247" s="250"/>
      <c r="B247" s="213"/>
      <c r="C247" s="214"/>
      <c r="D247" s="214"/>
      <c r="E247" s="214"/>
      <c r="F247" s="214"/>
      <c r="G247" s="214"/>
    </row>
    <row r="248" spans="1:7" s="251" customFormat="1">
      <c r="A248" s="250"/>
      <c r="B248" s="213"/>
      <c r="C248" s="214"/>
      <c r="D248" s="214"/>
      <c r="E248" s="214"/>
      <c r="F248" s="214"/>
      <c r="G248" s="214"/>
    </row>
    <row r="249" spans="1:7" s="251" customFormat="1">
      <c r="A249" s="250"/>
      <c r="B249" s="213"/>
      <c r="C249" s="214"/>
      <c r="D249" s="214"/>
      <c r="E249" s="214"/>
      <c r="F249" s="214"/>
      <c r="G249" s="214"/>
    </row>
    <row r="250" spans="1:7" s="251" customFormat="1">
      <c r="A250" s="250"/>
      <c r="B250" s="213"/>
      <c r="C250" s="214"/>
      <c r="D250" s="214"/>
      <c r="E250" s="214"/>
      <c r="F250" s="214"/>
      <c r="G250" s="214"/>
    </row>
    <row r="251" spans="1:7" s="251" customFormat="1">
      <c r="A251" s="250"/>
      <c r="B251" s="213"/>
      <c r="C251" s="214"/>
      <c r="D251" s="214"/>
      <c r="E251" s="214"/>
      <c r="F251" s="214"/>
      <c r="G251" s="214"/>
    </row>
    <row r="252" spans="1:7" s="251" customFormat="1">
      <c r="A252" s="250"/>
      <c r="B252" s="213"/>
      <c r="C252" s="214"/>
      <c r="D252" s="214"/>
      <c r="E252" s="214"/>
      <c r="F252" s="214"/>
      <c r="G252" s="214"/>
    </row>
    <row r="253" spans="1:7" s="251" customFormat="1">
      <c r="A253" s="250"/>
      <c r="B253" s="213"/>
      <c r="C253" s="214"/>
      <c r="D253" s="214"/>
      <c r="E253" s="214"/>
      <c r="F253" s="214"/>
      <c r="G253" s="214"/>
    </row>
    <row r="254" spans="1:7" s="251" customFormat="1">
      <c r="A254" s="250"/>
      <c r="B254" s="213"/>
      <c r="C254" s="214"/>
      <c r="D254" s="214"/>
      <c r="E254" s="214"/>
      <c r="F254" s="214"/>
      <c r="G254" s="214"/>
    </row>
    <row r="255" spans="1:7" s="251" customFormat="1">
      <c r="A255" s="250"/>
      <c r="B255" s="213"/>
      <c r="C255" s="214"/>
      <c r="D255" s="214"/>
      <c r="E255" s="214"/>
      <c r="F255" s="214"/>
      <c r="G255" s="214"/>
    </row>
    <row r="256" spans="1:7" s="251" customFormat="1">
      <c r="A256" s="250"/>
      <c r="B256" s="213"/>
      <c r="C256" s="214"/>
      <c r="D256" s="214"/>
      <c r="E256" s="214"/>
      <c r="F256" s="214"/>
      <c r="G256" s="214"/>
    </row>
    <row r="257" spans="1:7" s="251" customFormat="1">
      <c r="A257" s="250"/>
      <c r="B257" s="213"/>
      <c r="C257" s="214"/>
      <c r="D257" s="214"/>
      <c r="E257" s="214"/>
      <c r="F257" s="214"/>
      <c r="G257" s="214"/>
    </row>
    <row r="258" spans="1:7" s="251" customFormat="1">
      <c r="A258" s="250"/>
      <c r="B258" s="213"/>
      <c r="C258" s="214"/>
      <c r="D258" s="214"/>
      <c r="E258" s="214"/>
      <c r="F258" s="214"/>
      <c r="G258" s="214"/>
    </row>
    <row r="259" spans="1:7" s="251" customFormat="1">
      <c r="A259" s="250"/>
      <c r="B259" s="213"/>
      <c r="C259" s="214"/>
      <c r="D259" s="214"/>
      <c r="E259" s="214"/>
      <c r="F259" s="214"/>
      <c r="G259" s="214"/>
    </row>
    <row r="260" spans="1:7" s="251" customFormat="1">
      <c r="A260" s="250"/>
      <c r="B260" s="213"/>
      <c r="C260" s="214"/>
      <c r="D260" s="214"/>
      <c r="E260" s="214"/>
      <c r="F260" s="214"/>
      <c r="G260" s="214"/>
    </row>
    <row r="261" spans="1:7" s="251" customFormat="1">
      <c r="A261" s="250"/>
      <c r="B261" s="213"/>
      <c r="C261" s="214"/>
      <c r="D261" s="214"/>
      <c r="E261" s="214"/>
      <c r="F261" s="214"/>
      <c r="G261" s="214"/>
    </row>
    <row r="262" spans="1:7" s="251" customFormat="1">
      <c r="A262" s="250"/>
      <c r="B262" s="213"/>
      <c r="C262" s="214"/>
      <c r="D262" s="214"/>
      <c r="E262" s="214"/>
      <c r="F262" s="214"/>
      <c r="G262" s="214"/>
    </row>
    <row r="263" spans="1:7" s="251" customFormat="1">
      <c r="A263" s="250"/>
      <c r="B263" s="213"/>
      <c r="C263" s="214"/>
      <c r="D263" s="214"/>
      <c r="E263" s="214"/>
      <c r="F263" s="214"/>
      <c r="G263" s="214"/>
    </row>
    <row r="264" spans="1:7" s="251" customFormat="1">
      <c r="A264" s="250"/>
      <c r="B264" s="213"/>
      <c r="C264" s="214"/>
      <c r="D264" s="214"/>
      <c r="E264" s="214"/>
      <c r="F264" s="214"/>
      <c r="G264" s="214"/>
    </row>
    <row r="265" spans="1:7" s="251" customFormat="1">
      <c r="A265" s="250"/>
      <c r="B265" s="213"/>
      <c r="C265" s="214"/>
      <c r="D265" s="214"/>
      <c r="E265" s="214"/>
      <c r="F265" s="214"/>
      <c r="G265" s="214"/>
    </row>
    <row r="266" spans="1:7" s="251" customFormat="1">
      <c r="A266" s="250"/>
      <c r="B266" s="213"/>
      <c r="C266" s="214"/>
      <c r="D266" s="214"/>
      <c r="E266" s="214"/>
      <c r="F266" s="214"/>
      <c r="G266" s="214"/>
    </row>
    <row r="267" spans="1:7" s="251" customFormat="1">
      <c r="A267" s="250"/>
      <c r="B267" s="213"/>
      <c r="C267" s="214"/>
      <c r="D267" s="214"/>
      <c r="E267" s="214"/>
      <c r="F267" s="214"/>
      <c r="G267" s="214"/>
    </row>
    <row r="268" spans="1:7" s="251" customFormat="1">
      <c r="A268" s="250"/>
      <c r="B268" s="213"/>
      <c r="C268" s="214"/>
      <c r="D268" s="214"/>
      <c r="E268" s="214"/>
      <c r="F268" s="214"/>
      <c r="G268" s="214"/>
    </row>
    <row r="269" spans="1:7" s="251" customFormat="1">
      <c r="A269" s="250"/>
      <c r="B269" s="213"/>
      <c r="C269" s="214"/>
      <c r="D269" s="214"/>
      <c r="E269" s="214"/>
      <c r="F269" s="214"/>
      <c r="G269" s="214"/>
    </row>
    <row r="270" spans="1:7" s="251" customFormat="1">
      <c r="A270" s="250"/>
      <c r="B270" s="213"/>
      <c r="C270" s="214"/>
      <c r="D270" s="214"/>
      <c r="E270" s="214"/>
      <c r="F270" s="214"/>
      <c r="G270" s="214"/>
    </row>
    <row r="271" spans="1:7" s="251" customFormat="1">
      <c r="A271" s="250"/>
      <c r="B271" s="213"/>
      <c r="C271" s="214"/>
      <c r="D271" s="214"/>
      <c r="E271" s="214"/>
      <c r="F271" s="214"/>
      <c r="G271" s="214"/>
    </row>
    <row r="272" spans="1:7" s="251" customFormat="1">
      <c r="A272" s="250"/>
      <c r="B272" s="213"/>
      <c r="C272" s="214"/>
      <c r="D272" s="214"/>
      <c r="E272" s="214"/>
      <c r="F272" s="214"/>
      <c r="G272" s="214"/>
    </row>
    <row r="273" spans="1:7" s="251" customFormat="1">
      <c r="A273" s="250"/>
      <c r="B273" s="213"/>
      <c r="C273" s="214"/>
      <c r="D273" s="214"/>
      <c r="E273" s="214"/>
      <c r="F273" s="214"/>
      <c r="G273" s="214"/>
    </row>
    <row r="274" spans="1:7" s="251" customFormat="1">
      <c r="A274" s="250"/>
      <c r="B274" s="213"/>
      <c r="C274" s="214"/>
      <c r="D274" s="214"/>
      <c r="E274" s="214"/>
      <c r="F274" s="214"/>
      <c r="G274" s="214"/>
    </row>
    <row r="275" spans="1:7" s="251" customFormat="1">
      <c r="A275" s="250"/>
      <c r="B275" s="213"/>
      <c r="C275" s="214"/>
      <c r="D275" s="214"/>
      <c r="E275" s="214"/>
      <c r="F275" s="214"/>
      <c r="G275" s="214"/>
    </row>
    <row r="276" spans="1:7" s="251" customFormat="1">
      <c r="A276" s="250"/>
      <c r="B276" s="213"/>
      <c r="C276" s="214"/>
      <c r="D276" s="214"/>
      <c r="E276" s="214"/>
      <c r="F276" s="214"/>
      <c r="G276" s="214"/>
    </row>
    <row r="277" spans="1:7" s="251" customFormat="1">
      <c r="A277" s="250"/>
      <c r="B277" s="213"/>
      <c r="C277" s="214"/>
      <c r="D277" s="214"/>
      <c r="E277" s="214"/>
      <c r="F277" s="214"/>
      <c r="G277" s="214"/>
    </row>
    <row r="278" spans="1:7" s="251" customFormat="1">
      <c r="A278" s="250"/>
      <c r="B278" s="213"/>
      <c r="C278" s="214"/>
      <c r="D278" s="214"/>
      <c r="E278" s="214"/>
      <c r="F278" s="214"/>
      <c r="G278" s="214"/>
    </row>
    <row r="279" spans="1:7" s="251" customFormat="1">
      <c r="A279" s="250"/>
      <c r="B279" s="213"/>
      <c r="C279" s="214"/>
      <c r="D279" s="214"/>
      <c r="E279" s="214"/>
      <c r="F279" s="214"/>
      <c r="G279" s="214"/>
    </row>
    <row r="280" spans="1:7" s="251" customFormat="1">
      <c r="A280" s="250"/>
      <c r="B280" s="213"/>
      <c r="C280" s="214"/>
      <c r="D280" s="214"/>
      <c r="E280" s="214"/>
      <c r="F280" s="214"/>
      <c r="G280" s="214"/>
    </row>
    <row r="281" spans="1:7" s="251" customFormat="1">
      <c r="A281" s="250"/>
      <c r="B281" s="213"/>
      <c r="C281" s="214"/>
      <c r="D281" s="214"/>
      <c r="E281" s="214"/>
      <c r="F281" s="214"/>
      <c r="G281" s="214"/>
    </row>
    <row r="282" spans="1:7" s="251" customFormat="1">
      <c r="A282" s="250"/>
      <c r="B282" s="213"/>
      <c r="C282" s="214"/>
      <c r="D282" s="214"/>
      <c r="E282" s="214"/>
      <c r="F282" s="214"/>
      <c r="G282" s="214"/>
    </row>
    <row r="283" spans="1:7" s="251" customFormat="1">
      <c r="A283" s="250"/>
      <c r="B283" s="213"/>
      <c r="C283" s="214"/>
      <c r="D283" s="214"/>
      <c r="E283" s="214"/>
      <c r="F283" s="214"/>
      <c r="G283" s="214"/>
    </row>
    <row r="284" spans="1:7" s="251" customFormat="1">
      <c r="A284" s="250"/>
      <c r="B284" s="213"/>
      <c r="C284" s="214"/>
      <c r="D284" s="214"/>
      <c r="E284" s="214"/>
      <c r="F284" s="214"/>
      <c r="G284" s="214"/>
    </row>
    <row r="285" spans="1:7" s="251" customFormat="1">
      <c r="A285" s="250"/>
      <c r="B285" s="213"/>
      <c r="C285" s="214"/>
      <c r="D285" s="214"/>
      <c r="E285" s="214"/>
      <c r="F285" s="214"/>
      <c r="G285" s="214"/>
    </row>
    <row r="286" spans="1:7" s="251" customFormat="1">
      <c r="A286" s="250"/>
      <c r="B286" s="213"/>
      <c r="C286" s="214"/>
      <c r="D286" s="214"/>
      <c r="E286" s="214"/>
      <c r="F286" s="214"/>
      <c r="G286" s="214"/>
    </row>
    <row r="287" spans="1:7" s="251" customFormat="1">
      <c r="A287" s="250"/>
      <c r="B287" s="213"/>
      <c r="C287" s="214"/>
      <c r="D287" s="214"/>
      <c r="E287" s="214"/>
      <c r="F287" s="214"/>
      <c r="G287" s="214"/>
    </row>
    <row r="288" spans="1:7" s="251" customFormat="1">
      <c r="A288" s="250"/>
      <c r="B288" s="213"/>
      <c r="C288" s="214"/>
      <c r="D288" s="214"/>
      <c r="E288" s="214"/>
      <c r="F288" s="214"/>
      <c r="G288" s="214"/>
    </row>
    <row r="289" spans="1:7" s="251" customFormat="1">
      <c r="A289" s="250"/>
      <c r="B289" s="213"/>
      <c r="C289" s="214"/>
      <c r="D289" s="214"/>
      <c r="E289" s="214"/>
      <c r="F289" s="214"/>
      <c r="G289" s="214"/>
    </row>
    <row r="290" spans="1:7" s="251" customFormat="1">
      <c r="A290" s="250"/>
      <c r="B290" s="213"/>
      <c r="C290" s="214"/>
      <c r="D290" s="214"/>
      <c r="E290" s="214"/>
      <c r="F290" s="214"/>
      <c r="G290" s="214"/>
    </row>
    <row r="291" spans="1:7" s="251" customFormat="1">
      <c r="A291" s="250"/>
      <c r="B291" s="213"/>
      <c r="C291" s="214"/>
      <c r="D291" s="214"/>
      <c r="E291" s="214"/>
      <c r="F291" s="214"/>
      <c r="G291" s="214"/>
    </row>
    <row r="292" spans="1:7" s="251" customFormat="1">
      <c r="A292" s="250"/>
      <c r="B292" s="213"/>
      <c r="C292" s="214"/>
      <c r="D292" s="214"/>
      <c r="E292" s="214"/>
      <c r="F292" s="214"/>
      <c r="G292" s="214"/>
    </row>
    <row r="293" spans="1:7" s="251" customFormat="1">
      <c r="A293" s="250"/>
      <c r="B293" s="213"/>
      <c r="C293" s="214"/>
      <c r="D293" s="214"/>
      <c r="E293" s="214"/>
      <c r="F293" s="214"/>
      <c r="G293" s="214"/>
    </row>
    <row r="294" spans="1:7" s="251" customFormat="1">
      <c r="A294" s="250"/>
      <c r="B294" s="213"/>
      <c r="C294" s="214"/>
      <c r="D294" s="214"/>
      <c r="E294" s="214"/>
      <c r="F294" s="214"/>
      <c r="G294" s="214"/>
    </row>
    <row r="295" spans="1:7" s="251" customFormat="1">
      <c r="A295" s="250"/>
      <c r="B295" s="213"/>
      <c r="C295" s="214"/>
      <c r="D295" s="214"/>
      <c r="E295" s="214"/>
      <c r="F295" s="214"/>
      <c r="G295" s="214"/>
    </row>
    <row r="296" spans="1:7" s="251" customFormat="1">
      <c r="A296" s="250"/>
      <c r="B296" s="213"/>
      <c r="C296" s="214"/>
      <c r="D296" s="214"/>
      <c r="E296" s="214"/>
      <c r="F296" s="214"/>
      <c r="G296" s="214"/>
    </row>
    <row r="297" spans="1:7" s="251" customFormat="1">
      <c r="A297" s="250"/>
      <c r="B297" s="213"/>
      <c r="C297" s="214"/>
      <c r="D297" s="214"/>
      <c r="E297" s="214"/>
      <c r="F297" s="214"/>
      <c r="G297" s="214"/>
    </row>
    <row r="298" spans="1:7" s="251" customFormat="1">
      <c r="A298" s="250"/>
      <c r="B298" s="213"/>
      <c r="C298" s="214"/>
      <c r="D298" s="214"/>
      <c r="E298" s="214"/>
      <c r="F298" s="214"/>
      <c r="G298" s="214"/>
    </row>
    <row r="299" spans="1:7" s="251" customFormat="1">
      <c r="A299" s="250"/>
      <c r="B299" s="213"/>
      <c r="C299" s="214"/>
      <c r="D299" s="214"/>
      <c r="E299" s="214"/>
      <c r="F299" s="214"/>
      <c r="G299" s="214"/>
    </row>
    <row r="300" spans="1:7" s="251" customFormat="1">
      <c r="A300" s="250"/>
      <c r="B300" s="213"/>
      <c r="C300" s="214"/>
      <c r="D300" s="214"/>
      <c r="E300" s="214"/>
      <c r="F300" s="214"/>
      <c r="G300" s="214"/>
    </row>
    <row r="301" spans="1:7" s="251" customFormat="1">
      <c r="A301" s="250"/>
      <c r="B301" s="213"/>
      <c r="C301" s="214"/>
      <c r="D301" s="214"/>
      <c r="E301" s="214"/>
      <c r="F301" s="214"/>
      <c r="G301" s="214"/>
    </row>
    <row r="302" spans="1:7" s="251" customFormat="1">
      <c r="A302" s="250"/>
      <c r="B302" s="213"/>
      <c r="C302" s="214"/>
      <c r="D302" s="214"/>
      <c r="E302" s="214"/>
      <c r="F302" s="214"/>
      <c r="G302" s="214"/>
    </row>
    <row r="303" spans="1:7" s="251" customFormat="1">
      <c r="A303" s="250"/>
      <c r="B303" s="213"/>
      <c r="C303" s="214"/>
      <c r="D303" s="214"/>
      <c r="E303" s="214"/>
      <c r="F303" s="214"/>
      <c r="G303" s="214"/>
    </row>
    <row r="304" spans="1:7" s="251" customFormat="1">
      <c r="A304" s="250"/>
      <c r="B304" s="213"/>
      <c r="C304" s="214"/>
      <c r="D304" s="214"/>
      <c r="E304" s="214"/>
      <c r="F304" s="214"/>
      <c r="G304" s="214"/>
    </row>
    <row r="305" spans="1:7" s="251" customFormat="1">
      <c r="A305" s="250"/>
      <c r="B305" s="213"/>
      <c r="C305" s="214"/>
      <c r="D305" s="214"/>
      <c r="E305" s="214"/>
      <c r="F305" s="214"/>
      <c r="G305" s="214"/>
    </row>
    <row r="306" spans="1:7" s="251" customFormat="1">
      <c r="A306" s="250"/>
      <c r="B306" s="213"/>
      <c r="C306" s="214"/>
      <c r="D306" s="214"/>
      <c r="E306" s="214"/>
      <c r="F306" s="214"/>
      <c r="G306" s="214"/>
    </row>
    <row r="307" spans="1:7" s="251" customFormat="1">
      <c r="A307" s="250"/>
      <c r="B307" s="213"/>
      <c r="C307" s="214"/>
      <c r="D307" s="214"/>
      <c r="E307" s="214"/>
      <c r="F307" s="214"/>
      <c r="G307" s="214"/>
    </row>
    <row r="308" spans="1:7" s="251" customFormat="1">
      <c r="A308" s="250"/>
      <c r="B308" s="213"/>
      <c r="C308" s="214"/>
      <c r="D308" s="214"/>
      <c r="E308" s="214"/>
      <c r="F308" s="214"/>
      <c r="G308" s="214"/>
    </row>
    <row r="309" spans="1:7" s="251" customFormat="1">
      <c r="A309" s="250"/>
      <c r="B309" s="213"/>
      <c r="C309" s="214"/>
      <c r="D309" s="214"/>
      <c r="E309" s="214"/>
      <c r="F309" s="214"/>
      <c r="G309" s="214"/>
    </row>
    <row r="310" spans="1:7" s="251" customFormat="1">
      <c r="A310" s="250"/>
      <c r="B310" s="213"/>
      <c r="C310" s="214"/>
      <c r="D310" s="214"/>
      <c r="E310" s="214"/>
      <c r="F310" s="214"/>
      <c r="G310" s="214"/>
    </row>
    <row r="311" spans="1:7" s="251" customFormat="1">
      <c r="A311" s="250"/>
      <c r="B311" s="213"/>
      <c r="C311" s="214"/>
      <c r="D311" s="214"/>
      <c r="E311" s="214"/>
      <c r="F311" s="214"/>
      <c r="G311" s="214"/>
    </row>
    <row r="312" spans="1:7" s="251" customFormat="1">
      <c r="A312" s="250"/>
      <c r="B312" s="213"/>
      <c r="C312" s="214"/>
      <c r="D312" s="214"/>
      <c r="E312" s="214"/>
      <c r="F312" s="214"/>
      <c r="G312" s="214"/>
    </row>
    <row r="313" spans="1:7" s="251" customFormat="1">
      <c r="A313" s="250"/>
      <c r="B313" s="213"/>
      <c r="C313" s="214"/>
      <c r="D313" s="214"/>
      <c r="E313" s="214"/>
      <c r="F313" s="214"/>
      <c r="G313" s="214"/>
    </row>
    <row r="314" spans="1:7" s="251" customFormat="1">
      <c r="A314" s="250"/>
      <c r="B314" s="213"/>
      <c r="C314" s="214"/>
      <c r="D314" s="214"/>
      <c r="E314" s="214"/>
      <c r="F314" s="214"/>
      <c r="G314" s="214"/>
    </row>
    <row r="315" spans="1:7" s="251" customFormat="1">
      <c r="A315" s="250"/>
      <c r="B315" s="213"/>
      <c r="C315" s="214"/>
      <c r="D315" s="214"/>
      <c r="E315" s="214"/>
      <c r="F315" s="214"/>
      <c r="G315" s="214"/>
    </row>
    <row r="316" spans="1:7" s="251" customFormat="1">
      <c r="A316" s="250"/>
      <c r="B316" s="213"/>
      <c r="C316" s="214"/>
      <c r="D316" s="214"/>
      <c r="E316" s="214"/>
      <c r="F316" s="214"/>
      <c r="G316" s="214"/>
    </row>
    <row r="317" spans="1:7" s="251" customFormat="1">
      <c r="A317" s="250"/>
      <c r="B317" s="213"/>
      <c r="C317" s="214"/>
      <c r="D317" s="214"/>
      <c r="E317" s="214"/>
      <c r="F317" s="214"/>
      <c r="G317" s="214"/>
    </row>
    <row r="318" spans="1:7" s="251" customFormat="1">
      <c r="A318" s="250"/>
      <c r="B318" s="213"/>
      <c r="C318" s="214"/>
      <c r="D318" s="214"/>
      <c r="E318" s="214"/>
      <c r="F318" s="214"/>
      <c r="G318" s="214"/>
    </row>
    <row r="319" spans="1:7" s="251" customFormat="1">
      <c r="A319" s="250"/>
      <c r="B319" s="213"/>
      <c r="C319" s="214"/>
      <c r="D319" s="214"/>
      <c r="E319" s="214"/>
      <c r="F319" s="214"/>
      <c r="G319" s="214"/>
    </row>
    <row r="320" spans="1:7" s="251" customFormat="1">
      <c r="A320" s="250"/>
      <c r="B320" s="213"/>
      <c r="C320" s="214"/>
      <c r="D320" s="214"/>
      <c r="E320" s="214"/>
      <c r="F320" s="214"/>
      <c r="G320" s="214"/>
    </row>
    <row r="321" spans="1:7" s="251" customFormat="1">
      <c r="A321" s="250"/>
      <c r="B321" s="213"/>
      <c r="C321" s="214"/>
      <c r="D321" s="214"/>
      <c r="E321" s="214"/>
      <c r="F321" s="214"/>
      <c r="G321" s="214"/>
    </row>
    <row r="322" spans="1:7" s="251" customFormat="1">
      <c r="A322" s="250"/>
      <c r="B322" s="213"/>
      <c r="C322" s="214"/>
      <c r="D322" s="214"/>
      <c r="E322" s="214"/>
      <c r="F322" s="214"/>
      <c r="G322" s="214"/>
    </row>
    <row r="323" spans="1:7" s="251" customFormat="1">
      <c r="A323" s="250"/>
      <c r="B323" s="213"/>
      <c r="C323" s="214"/>
      <c r="D323" s="214"/>
      <c r="E323" s="214"/>
      <c r="F323" s="214"/>
      <c r="G323" s="214"/>
    </row>
    <row r="324" spans="1:7" s="251" customFormat="1">
      <c r="A324" s="250"/>
      <c r="B324" s="213"/>
      <c r="C324" s="214"/>
      <c r="D324" s="214"/>
      <c r="E324" s="214"/>
      <c r="F324" s="214"/>
      <c r="G324" s="214"/>
    </row>
    <row r="325" spans="1:7" s="251" customFormat="1">
      <c r="A325" s="250"/>
      <c r="B325" s="213"/>
      <c r="C325" s="214"/>
      <c r="D325" s="214"/>
      <c r="E325" s="214"/>
      <c r="F325" s="214"/>
      <c r="G325" s="214"/>
    </row>
    <row r="326" spans="1:7" s="251" customFormat="1">
      <c r="A326" s="250"/>
      <c r="B326" s="213"/>
      <c r="C326" s="214"/>
      <c r="D326" s="214"/>
      <c r="E326" s="214"/>
      <c r="F326" s="214"/>
      <c r="G326" s="214"/>
    </row>
    <row r="327" spans="1:7" s="251" customFormat="1">
      <c r="A327" s="250"/>
      <c r="B327" s="213"/>
      <c r="C327" s="214"/>
      <c r="D327" s="214"/>
      <c r="E327" s="214"/>
      <c r="F327" s="214"/>
      <c r="G327" s="214"/>
    </row>
    <row r="328" spans="1:7" s="251" customFormat="1">
      <c r="A328" s="250"/>
      <c r="B328" s="213"/>
      <c r="C328" s="214"/>
      <c r="D328" s="214"/>
      <c r="E328" s="214"/>
      <c r="F328" s="214"/>
      <c r="G328" s="214"/>
    </row>
    <row r="329" spans="1:7" s="251" customFormat="1">
      <c r="A329" s="250"/>
      <c r="B329" s="213"/>
      <c r="C329" s="214"/>
      <c r="D329" s="214"/>
      <c r="E329" s="214"/>
      <c r="F329" s="214"/>
      <c r="G329" s="214"/>
    </row>
    <row r="330" spans="1:7" s="251" customFormat="1">
      <c r="A330" s="250"/>
      <c r="B330" s="213"/>
      <c r="C330" s="214"/>
      <c r="D330" s="214"/>
      <c r="E330" s="214"/>
      <c r="F330" s="214"/>
      <c r="G330" s="214"/>
    </row>
    <row r="331" spans="1:7" s="251" customFormat="1">
      <c r="A331" s="250"/>
      <c r="B331" s="213"/>
      <c r="C331" s="214"/>
      <c r="D331" s="214"/>
      <c r="E331" s="214"/>
      <c r="F331" s="214"/>
      <c r="G331" s="214"/>
    </row>
    <row r="332" spans="1:7" s="251" customFormat="1">
      <c r="A332" s="250"/>
      <c r="B332" s="213"/>
      <c r="C332" s="214"/>
      <c r="D332" s="214"/>
      <c r="E332" s="214"/>
      <c r="F332" s="214"/>
      <c r="G332" s="214"/>
    </row>
    <row r="333" spans="1:7" s="251" customFormat="1">
      <c r="A333" s="250"/>
      <c r="B333" s="213"/>
      <c r="C333" s="214"/>
      <c r="D333" s="214"/>
      <c r="E333" s="214"/>
      <c r="F333" s="214"/>
      <c r="G333" s="214"/>
    </row>
    <row r="334" spans="1:7" s="251" customFormat="1">
      <c r="A334" s="250"/>
      <c r="B334" s="213"/>
      <c r="C334" s="214"/>
      <c r="D334" s="214"/>
      <c r="E334" s="214"/>
      <c r="F334" s="214"/>
      <c r="G334" s="214"/>
    </row>
    <row r="335" spans="1:7" s="251" customFormat="1">
      <c r="A335" s="250"/>
      <c r="B335" s="213"/>
      <c r="C335" s="214"/>
      <c r="D335" s="214"/>
      <c r="E335" s="214"/>
      <c r="F335" s="214"/>
      <c r="G335" s="214"/>
    </row>
    <row r="336" spans="1:7" s="251" customFormat="1">
      <c r="A336" s="250"/>
      <c r="B336" s="213"/>
      <c r="C336" s="214"/>
      <c r="D336" s="214"/>
      <c r="E336" s="214"/>
      <c r="F336" s="214"/>
      <c r="G336" s="214"/>
    </row>
    <row r="337" spans="1:7" s="251" customFormat="1">
      <c r="A337" s="250"/>
      <c r="B337" s="213"/>
      <c r="C337" s="214"/>
      <c r="D337" s="214"/>
      <c r="E337" s="214"/>
      <c r="F337" s="214"/>
      <c r="G337" s="214"/>
    </row>
    <row r="338" spans="1:7" s="251" customFormat="1">
      <c r="A338" s="250"/>
      <c r="B338" s="213"/>
      <c r="C338" s="214"/>
      <c r="D338" s="214"/>
      <c r="E338" s="214"/>
      <c r="F338" s="214"/>
      <c r="G338" s="214"/>
    </row>
    <row r="339" spans="1:7" s="251" customFormat="1">
      <c r="A339" s="250"/>
      <c r="B339" s="213"/>
      <c r="C339" s="214"/>
      <c r="D339" s="214"/>
      <c r="E339" s="214"/>
      <c r="F339" s="214"/>
      <c r="G339" s="214"/>
    </row>
    <row r="340" spans="1:7" s="251" customFormat="1">
      <c r="A340" s="250"/>
      <c r="B340" s="213"/>
      <c r="C340" s="214"/>
      <c r="D340" s="214"/>
      <c r="E340" s="214"/>
      <c r="F340" s="214"/>
      <c r="G340" s="214"/>
    </row>
    <row r="341" spans="1:7" s="251" customFormat="1">
      <c r="A341" s="250"/>
      <c r="B341" s="213"/>
      <c r="C341" s="214"/>
      <c r="D341" s="214"/>
      <c r="E341" s="214"/>
      <c r="F341" s="214"/>
      <c r="G341" s="214"/>
    </row>
    <row r="342" spans="1:7" s="251" customFormat="1">
      <c r="A342" s="250"/>
      <c r="B342" s="213"/>
      <c r="C342" s="214"/>
      <c r="D342" s="214"/>
      <c r="E342" s="214"/>
      <c r="F342" s="214"/>
      <c r="G342" s="214"/>
    </row>
    <row r="343" spans="1:7" s="251" customFormat="1">
      <c r="A343" s="250"/>
      <c r="B343" s="213"/>
      <c r="C343" s="214"/>
      <c r="D343" s="214"/>
      <c r="E343" s="214"/>
      <c r="F343" s="214"/>
      <c r="G343" s="214"/>
    </row>
    <row r="344" spans="1:7" s="251" customFormat="1">
      <c r="A344" s="250"/>
      <c r="B344" s="213"/>
      <c r="C344" s="214"/>
      <c r="D344" s="214"/>
      <c r="E344" s="214"/>
      <c r="F344" s="214"/>
      <c r="G344" s="214"/>
    </row>
    <row r="345" spans="1:7" s="251" customFormat="1">
      <c r="A345" s="250"/>
      <c r="B345" s="213"/>
      <c r="C345" s="214"/>
      <c r="D345" s="214"/>
      <c r="E345" s="214"/>
      <c r="F345" s="214"/>
      <c r="G345" s="214"/>
    </row>
    <row r="346" spans="1:7" s="251" customFormat="1">
      <c r="A346" s="250"/>
      <c r="B346" s="213"/>
      <c r="C346" s="214"/>
      <c r="D346" s="214"/>
      <c r="E346" s="214"/>
      <c r="F346" s="214"/>
      <c r="G346" s="214"/>
    </row>
    <row r="347" spans="1:7" s="251" customFormat="1">
      <c r="A347" s="250"/>
      <c r="B347" s="213"/>
      <c r="C347" s="214"/>
      <c r="D347" s="214"/>
      <c r="E347" s="214"/>
      <c r="F347" s="214"/>
      <c r="G347" s="214"/>
    </row>
    <row r="348" spans="1:7" s="251" customFormat="1">
      <c r="A348" s="250"/>
      <c r="B348" s="213"/>
      <c r="C348" s="214"/>
      <c r="D348" s="214"/>
      <c r="E348" s="214"/>
      <c r="F348" s="214"/>
      <c r="G348" s="214"/>
    </row>
    <row r="349" spans="1:7" s="251" customFormat="1">
      <c r="A349" s="250"/>
      <c r="B349" s="213"/>
      <c r="C349" s="214"/>
      <c r="D349" s="214"/>
      <c r="E349" s="214"/>
      <c r="F349" s="214"/>
      <c r="G349" s="214"/>
    </row>
    <row r="350" spans="1:7" s="251" customFormat="1">
      <c r="A350" s="250"/>
      <c r="B350" s="213"/>
      <c r="C350" s="214"/>
      <c r="D350" s="214"/>
      <c r="E350" s="214"/>
      <c r="F350" s="214"/>
      <c r="G350" s="214"/>
    </row>
    <row r="351" spans="1:7" s="251" customFormat="1">
      <c r="A351" s="250"/>
      <c r="B351" s="213"/>
      <c r="C351" s="214"/>
      <c r="D351" s="214"/>
      <c r="E351" s="214"/>
      <c r="F351" s="214"/>
      <c r="G351" s="214"/>
    </row>
    <row r="352" spans="1:7" s="251" customFormat="1">
      <c r="A352" s="250"/>
      <c r="B352" s="213"/>
      <c r="C352" s="214"/>
      <c r="D352" s="214"/>
      <c r="E352" s="214"/>
      <c r="F352" s="214"/>
      <c r="G352" s="214"/>
    </row>
    <row r="353" spans="1:7" s="251" customFormat="1">
      <c r="A353" s="250"/>
      <c r="B353" s="213"/>
      <c r="C353" s="214"/>
      <c r="D353" s="214"/>
      <c r="E353" s="214"/>
      <c r="F353" s="214"/>
      <c r="G353" s="214"/>
    </row>
    <row r="354" spans="1:7" s="251" customFormat="1">
      <c r="A354" s="250"/>
      <c r="B354" s="213"/>
      <c r="C354" s="214"/>
      <c r="D354" s="214"/>
      <c r="E354" s="214"/>
      <c r="F354" s="214"/>
      <c r="G354" s="214"/>
    </row>
    <row r="355" spans="1:7" s="251" customFormat="1">
      <c r="A355" s="250"/>
      <c r="B355" s="213"/>
      <c r="C355" s="214"/>
      <c r="D355" s="214"/>
      <c r="E355" s="214"/>
      <c r="F355" s="214"/>
      <c r="G355" s="214"/>
    </row>
    <row r="356" spans="1:7" s="251" customFormat="1">
      <c r="A356" s="250"/>
      <c r="B356" s="213"/>
      <c r="C356" s="214"/>
      <c r="D356" s="214"/>
      <c r="E356" s="214"/>
      <c r="F356" s="214"/>
      <c r="G356" s="214"/>
    </row>
    <row r="357" spans="1:7" s="251" customFormat="1">
      <c r="A357" s="250"/>
      <c r="B357" s="213"/>
      <c r="C357" s="214"/>
      <c r="D357" s="214"/>
      <c r="E357" s="214"/>
      <c r="F357" s="214"/>
      <c r="G357" s="214"/>
    </row>
    <row r="358" spans="1:7" s="251" customFormat="1">
      <c r="A358" s="250"/>
      <c r="B358" s="213"/>
      <c r="C358" s="214"/>
      <c r="D358" s="214"/>
      <c r="E358" s="214"/>
      <c r="F358" s="214"/>
      <c r="G358" s="214"/>
    </row>
    <row r="359" spans="1:7" s="251" customFormat="1">
      <c r="A359" s="250"/>
      <c r="B359" s="213"/>
      <c r="C359" s="214"/>
      <c r="D359" s="214"/>
      <c r="E359" s="214"/>
      <c r="F359" s="214"/>
      <c r="G359" s="214"/>
    </row>
    <row r="360" spans="1:7" s="251" customFormat="1">
      <c r="A360" s="250"/>
      <c r="B360" s="213"/>
      <c r="C360" s="214"/>
      <c r="D360" s="214"/>
      <c r="E360" s="214"/>
      <c r="F360" s="214"/>
      <c r="G360" s="214"/>
    </row>
    <row r="361" spans="1:7" s="251" customFormat="1">
      <c r="A361" s="250"/>
      <c r="B361" s="213"/>
      <c r="C361" s="214"/>
      <c r="D361" s="214"/>
      <c r="E361" s="214"/>
      <c r="F361" s="214"/>
      <c r="G361" s="214"/>
    </row>
    <row r="362" spans="1:7" s="251" customFormat="1">
      <c r="A362" s="250"/>
      <c r="B362" s="213"/>
      <c r="C362" s="214"/>
      <c r="D362" s="214"/>
      <c r="E362" s="214"/>
      <c r="F362" s="214"/>
      <c r="G362" s="214"/>
    </row>
    <row r="363" spans="1:7" s="251" customFormat="1">
      <c r="A363" s="250"/>
      <c r="B363" s="213"/>
      <c r="C363" s="214"/>
      <c r="D363" s="214"/>
      <c r="E363" s="214"/>
      <c r="F363" s="214"/>
      <c r="G363" s="214"/>
    </row>
    <row r="364" spans="1:7" s="251" customFormat="1">
      <c r="A364" s="250"/>
      <c r="B364" s="213"/>
      <c r="C364" s="214"/>
      <c r="D364" s="214"/>
      <c r="E364" s="214"/>
      <c r="F364" s="214"/>
      <c r="G364" s="214"/>
    </row>
    <row r="365" spans="1:7" s="251" customFormat="1">
      <c r="A365" s="250"/>
      <c r="B365" s="213"/>
      <c r="C365" s="214"/>
      <c r="D365" s="214"/>
      <c r="E365" s="214"/>
      <c r="F365" s="214"/>
      <c r="G365" s="214"/>
    </row>
    <row r="366" spans="1:7" s="251" customFormat="1">
      <c r="A366" s="250"/>
      <c r="B366" s="213"/>
      <c r="C366" s="214"/>
      <c r="D366" s="214"/>
      <c r="E366" s="214"/>
      <c r="F366" s="214"/>
      <c r="G366" s="214"/>
    </row>
    <row r="367" spans="1:7" s="251" customFormat="1">
      <c r="A367" s="250"/>
      <c r="B367" s="213"/>
      <c r="C367" s="214"/>
      <c r="D367" s="214"/>
      <c r="E367" s="214"/>
      <c r="F367" s="214"/>
      <c r="G367" s="214"/>
    </row>
    <row r="368" spans="1:7" s="251" customFormat="1">
      <c r="A368" s="250"/>
      <c r="B368" s="213"/>
      <c r="C368" s="214"/>
      <c r="D368" s="214"/>
      <c r="E368" s="214"/>
      <c r="F368" s="214"/>
      <c r="G368" s="214"/>
    </row>
    <row r="369" spans="1:7" s="251" customFormat="1">
      <c r="A369" s="250"/>
      <c r="B369" s="213"/>
      <c r="C369" s="214"/>
      <c r="D369" s="214"/>
      <c r="E369" s="214"/>
      <c r="F369" s="214"/>
      <c r="G369" s="214"/>
    </row>
    <row r="370" spans="1:7" s="251" customFormat="1">
      <c r="A370" s="250"/>
      <c r="B370" s="213"/>
      <c r="C370" s="214"/>
      <c r="D370" s="214"/>
      <c r="E370" s="214"/>
      <c r="F370" s="214"/>
      <c r="G370" s="214"/>
    </row>
    <row r="371" spans="1:7" s="251" customFormat="1">
      <c r="A371" s="250"/>
      <c r="B371" s="213"/>
      <c r="C371" s="214"/>
      <c r="D371" s="214"/>
      <c r="E371" s="214"/>
      <c r="F371" s="214"/>
      <c r="G371" s="214"/>
    </row>
    <row r="372" spans="1:7" s="251" customFormat="1">
      <c r="A372" s="250"/>
      <c r="B372" s="213"/>
      <c r="C372" s="214"/>
      <c r="D372" s="214"/>
      <c r="E372" s="214"/>
      <c r="F372" s="214"/>
      <c r="G372" s="214"/>
    </row>
    <row r="373" spans="1:7" s="251" customFormat="1">
      <c r="A373" s="250"/>
      <c r="B373" s="213"/>
      <c r="C373" s="214"/>
      <c r="D373" s="214"/>
      <c r="E373" s="214"/>
      <c r="F373" s="214"/>
      <c r="G373" s="214"/>
    </row>
    <row r="374" spans="1:7" s="251" customFormat="1">
      <c r="A374" s="250"/>
      <c r="B374" s="213"/>
      <c r="C374" s="214"/>
      <c r="D374" s="214"/>
      <c r="E374" s="214"/>
      <c r="F374" s="214"/>
      <c r="G374" s="214"/>
    </row>
    <row r="375" spans="1:7" s="251" customFormat="1">
      <c r="A375" s="250"/>
      <c r="B375" s="213"/>
      <c r="C375" s="214"/>
      <c r="D375" s="214"/>
      <c r="E375" s="214"/>
      <c r="F375" s="214"/>
      <c r="G375" s="214"/>
    </row>
    <row r="376" spans="1:7" s="251" customFormat="1">
      <c r="A376" s="250"/>
      <c r="B376" s="213"/>
      <c r="C376" s="214"/>
      <c r="D376" s="214"/>
      <c r="E376" s="214"/>
      <c r="F376" s="214"/>
      <c r="G376" s="214"/>
    </row>
    <row r="377" spans="1:7" s="251" customFormat="1">
      <c r="A377" s="250"/>
      <c r="B377" s="213"/>
      <c r="C377" s="214"/>
      <c r="D377" s="214"/>
      <c r="E377" s="214"/>
      <c r="F377" s="214"/>
      <c r="G377" s="214"/>
    </row>
    <row r="378" spans="1:7" s="251" customFormat="1">
      <c r="A378" s="250"/>
      <c r="B378" s="213"/>
      <c r="C378" s="214"/>
      <c r="D378" s="214"/>
      <c r="E378" s="214"/>
      <c r="F378" s="214"/>
      <c r="G378" s="214"/>
    </row>
    <row r="379" spans="1:7" s="251" customFormat="1">
      <c r="A379" s="250"/>
      <c r="B379" s="213"/>
      <c r="C379" s="214"/>
      <c r="D379" s="214"/>
      <c r="E379" s="214"/>
      <c r="F379" s="214"/>
      <c r="G379" s="214"/>
    </row>
    <row r="380" spans="1:7" s="251" customFormat="1">
      <c r="A380" s="250"/>
      <c r="B380" s="213"/>
      <c r="C380" s="214"/>
      <c r="D380" s="214"/>
      <c r="E380" s="214"/>
      <c r="F380" s="214"/>
      <c r="G380" s="214"/>
    </row>
    <row r="381" spans="1:7" s="251" customFormat="1">
      <c r="A381" s="250"/>
      <c r="B381" s="213"/>
      <c r="C381" s="214"/>
      <c r="D381" s="214"/>
      <c r="E381" s="214"/>
      <c r="F381" s="214"/>
      <c r="G381" s="214"/>
    </row>
    <row r="382" spans="1:7" s="251" customFormat="1">
      <c r="A382" s="250"/>
      <c r="B382" s="213"/>
      <c r="C382" s="214"/>
      <c r="D382" s="214"/>
      <c r="E382" s="214"/>
      <c r="F382" s="214"/>
      <c r="G382" s="214"/>
    </row>
    <row r="383" spans="1:7" s="251" customFormat="1">
      <c r="A383" s="250"/>
      <c r="B383" s="213"/>
      <c r="C383" s="214"/>
      <c r="D383" s="214"/>
      <c r="E383" s="214"/>
      <c r="F383" s="214"/>
      <c r="G383" s="214"/>
    </row>
    <row r="384" spans="1:7" s="251" customFormat="1">
      <c r="A384" s="250"/>
      <c r="B384" s="213"/>
      <c r="C384" s="214"/>
      <c r="D384" s="214"/>
      <c r="E384" s="214"/>
      <c r="F384" s="214"/>
      <c r="G384" s="214"/>
    </row>
    <row r="385" spans="1:7" s="251" customFormat="1">
      <c r="A385" s="250"/>
      <c r="B385" s="213"/>
      <c r="C385" s="214"/>
      <c r="D385" s="214"/>
      <c r="E385" s="214"/>
      <c r="F385" s="214"/>
      <c r="G385" s="214"/>
    </row>
    <row r="386" spans="1:7" s="251" customFormat="1">
      <c r="A386" s="250"/>
      <c r="B386" s="213"/>
      <c r="C386" s="214"/>
      <c r="D386" s="214"/>
      <c r="E386" s="214"/>
      <c r="F386" s="214"/>
      <c r="G386" s="214"/>
    </row>
    <row r="387" spans="1:7" s="251" customFormat="1">
      <c r="A387" s="250"/>
      <c r="B387" s="213"/>
      <c r="C387" s="214"/>
      <c r="D387" s="214"/>
      <c r="E387" s="214"/>
      <c r="F387" s="214"/>
      <c r="G387" s="214"/>
    </row>
    <row r="388" spans="1:7" s="251" customFormat="1">
      <c r="A388" s="250"/>
      <c r="B388" s="213"/>
      <c r="C388" s="214"/>
      <c r="D388" s="214"/>
      <c r="E388" s="214"/>
      <c r="F388" s="214"/>
      <c r="G388" s="214"/>
    </row>
    <row r="389" spans="1:7" s="251" customFormat="1">
      <c r="A389" s="250"/>
      <c r="B389" s="213"/>
      <c r="C389" s="214"/>
      <c r="D389" s="214"/>
      <c r="E389" s="214"/>
      <c r="F389" s="214"/>
      <c r="G389" s="214"/>
    </row>
    <row r="390" spans="1:7" s="251" customFormat="1">
      <c r="A390" s="250"/>
      <c r="B390" s="213"/>
      <c r="C390" s="214"/>
      <c r="D390" s="214"/>
      <c r="E390" s="214"/>
      <c r="F390" s="214"/>
      <c r="G390" s="214"/>
    </row>
    <row r="391" spans="1:7" s="251" customFormat="1">
      <c r="A391" s="250"/>
      <c r="B391" s="213"/>
      <c r="C391" s="214"/>
      <c r="D391" s="214"/>
      <c r="E391" s="214"/>
      <c r="F391" s="214"/>
      <c r="G391" s="214"/>
    </row>
    <row r="392" spans="1:7" s="251" customFormat="1">
      <c r="A392" s="250"/>
      <c r="B392" s="213"/>
      <c r="C392" s="214"/>
      <c r="D392" s="214"/>
      <c r="E392" s="214"/>
      <c r="F392" s="214"/>
      <c r="G392" s="214"/>
    </row>
    <row r="393" spans="1:7" s="251" customFormat="1">
      <c r="A393" s="250"/>
      <c r="B393" s="213"/>
      <c r="C393" s="214"/>
      <c r="D393" s="214"/>
      <c r="E393" s="214"/>
      <c r="F393" s="214"/>
      <c r="G393" s="214"/>
    </row>
    <row r="394" spans="1:7" s="251" customFormat="1">
      <c r="A394" s="250"/>
      <c r="B394" s="213"/>
      <c r="C394" s="214"/>
      <c r="D394" s="214"/>
      <c r="E394" s="214"/>
      <c r="F394" s="214"/>
      <c r="G394" s="214"/>
    </row>
    <row r="395" spans="1:7" s="251" customFormat="1">
      <c r="A395" s="250"/>
      <c r="B395" s="213"/>
      <c r="C395" s="214"/>
      <c r="D395" s="214"/>
      <c r="E395" s="214"/>
      <c r="F395" s="214"/>
      <c r="G395" s="214"/>
    </row>
    <row r="396" spans="1:7" s="251" customFormat="1">
      <c r="A396" s="250"/>
      <c r="B396" s="213"/>
      <c r="C396" s="214"/>
      <c r="D396" s="214"/>
      <c r="E396" s="214"/>
      <c r="F396" s="214"/>
      <c r="G396" s="214"/>
    </row>
    <row r="397" spans="1:7" s="251" customFormat="1">
      <c r="A397" s="250"/>
      <c r="B397" s="213"/>
      <c r="C397" s="214"/>
      <c r="D397" s="214"/>
      <c r="E397" s="214"/>
      <c r="F397" s="214"/>
      <c r="G397" s="214"/>
    </row>
    <row r="398" spans="1:7" s="251" customFormat="1">
      <c r="A398" s="250"/>
      <c r="B398" s="213"/>
      <c r="C398" s="214"/>
      <c r="D398" s="214"/>
      <c r="E398" s="214"/>
      <c r="F398" s="214"/>
      <c r="G398" s="214"/>
    </row>
    <row r="399" spans="1:7" s="251" customFormat="1">
      <c r="A399" s="250"/>
      <c r="B399" s="213"/>
      <c r="C399" s="214"/>
      <c r="D399" s="214"/>
      <c r="E399" s="214"/>
      <c r="F399" s="214"/>
      <c r="G399" s="214"/>
    </row>
    <row r="400" spans="1:7" s="251" customFormat="1">
      <c r="A400" s="250"/>
      <c r="B400" s="213"/>
      <c r="C400" s="214"/>
      <c r="D400" s="214"/>
      <c r="E400" s="214"/>
      <c r="F400" s="214"/>
      <c r="G400" s="214"/>
    </row>
    <row r="401" spans="1:7" s="251" customFormat="1">
      <c r="A401" s="250"/>
      <c r="B401" s="213"/>
      <c r="C401" s="214"/>
      <c r="D401" s="214"/>
      <c r="E401" s="214"/>
      <c r="F401" s="214"/>
      <c r="G401" s="214"/>
    </row>
    <row r="402" spans="1:7" s="251" customFormat="1">
      <c r="A402" s="250"/>
      <c r="B402" s="213"/>
      <c r="C402" s="214"/>
      <c r="D402" s="214"/>
      <c r="E402" s="214"/>
      <c r="F402" s="214"/>
      <c r="G402" s="214"/>
    </row>
    <row r="403" spans="1:7" s="251" customFormat="1">
      <c r="A403" s="250"/>
      <c r="B403" s="213"/>
      <c r="C403" s="214"/>
      <c r="D403" s="214"/>
      <c r="E403" s="214"/>
      <c r="F403" s="214"/>
      <c r="G403" s="214"/>
    </row>
    <row r="404" spans="1:7" s="251" customFormat="1">
      <c r="A404" s="250"/>
      <c r="B404" s="213"/>
      <c r="C404" s="214"/>
      <c r="D404" s="214"/>
      <c r="E404" s="214"/>
      <c r="F404" s="214"/>
      <c r="G404" s="214"/>
    </row>
    <row r="405" spans="1:7" s="251" customFormat="1">
      <c r="A405" s="250"/>
      <c r="B405" s="213"/>
      <c r="C405" s="214"/>
      <c r="D405" s="214"/>
      <c r="E405" s="214"/>
      <c r="F405" s="214"/>
      <c r="G405" s="214"/>
    </row>
    <row r="406" spans="1:7" s="251" customFormat="1">
      <c r="A406" s="250"/>
      <c r="B406" s="213"/>
      <c r="C406" s="214"/>
      <c r="D406" s="214"/>
      <c r="E406" s="214"/>
      <c r="F406" s="214"/>
      <c r="G406" s="214"/>
    </row>
    <row r="407" spans="1:7" s="251" customFormat="1">
      <c r="A407" s="250"/>
      <c r="B407" s="213"/>
      <c r="C407" s="214"/>
      <c r="D407" s="214"/>
      <c r="E407" s="214"/>
      <c r="F407" s="214"/>
      <c r="G407" s="214"/>
    </row>
    <row r="408" spans="1:7" s="251" customFormat="1">
      <c r="A408" s="250"/>
      <c r="B408" s="213"/>
      <c r="C408" s="214"/>
      <c r="D408" s="214"/>
      <c r="E408" s="214"/>
      <c r="F408" s="214"/>
      <c r="G408" s="214"/>
    </row>
    <row r="409" spans="1:7" s="251" customFormat="1">
      <c r="A409" s="250"/>
      <c r="B409" s="213"/>
      <c r="C409" s="214"/>
      <c r="D409" s="214"/>
      <c r="E409" s="214"/>
      <c r="F409" s="214"/>
      <c r="G409" s="214"/>
    </row>
    <row r="410" spans="1:7" s="251" customFormat="1">
      <c r="A410" s="250"/>
      <c r="B410" s="213"/>
      <c r="C410" s="214"/>
      <c r="D410" s="214"/>
      <c r="E410" s="214"/>
      <c r="F410" s="214"/>
      <c r="G410" s="214"/>
    </row>
    <row r="411" spans="1:7" s="251" customFormat="1">
      <c r="A411" s="250"/>
      <c r="B411" s="213"/>
      <c r="C411" s="214"/>
      <c r="D411" s="214"/>
      <c r="E411" s="214"/>
      <c r="F411" s="214"/>
      <c r="G411" s="214"/>
    </row>
    <row r="412" spans="1:7" s="251" customFormat="1">
      <c r="A412" s="250"/>
      <c r="B412" s="213"/>
      <c r="C412" s="214"/>
      <c r="D412" s="214"/>
      <c r="E412" s="214"/>
      <c r="F412" s="214"/>
      <c r="G412" s="214"/>
    </row>
    <row r="413" spans="1:7" s="251" customFormat="1">
      <c r="A413" s="250"/>
      <c r="B413" s="213"/>
      <c r="C413" s="214"/>
      <c r="D413" s="214"/>
      <c r="E413" s="214"/>
      <c r="F413" s="214"/>
      <c r="G413" s="214"/>
    </row>
    <row r="414" spans="1:7" s="251" customFormat="1">
      <c r="A414" s="250"/>
      <c r="B414" s="213"/>
      <c r="C414" s="214"/>
      <c r="D414" s="214"/>
      <c r="E414" s="214"/>
      <c r="F414" s="214"/>
      <c r="G414" s="214"/>
    </row>
    <row r="415" spans="1:7" s="251" customFormat="1">
      <c r="A415" s="250"/>
      <c r="B415" s="213"/>
      <c r="C415" s="214"/>
      <c r="D415" s="214"/>
      <c r="E415" s="214"/>
      <c r="F415" s="214"/>
      <c r="G415" s="214"/>
    </row>
    <row r="416" spans="1:7" s="251" customFormat="1">
      <c r="A416" s="250"/>
      <c r="B416" s="213"/>
      <c r="C416" s="214"/>
      <c r="D416" s="214"/>
      <c r="E416" s="214"/>
      <c r="F416" s="214"/>
      <c r="G416" s="214"/>
    </row>
    <row r="417" spans="1:7" s="251" customFormat="1">
      <c r="A417" s="250"/>
      <c r="B417" s="213"/>
      <c r="C417" s="214"/>
      <c r="D417" s="214"/>
      <c r="E417" s="214"/>
      <c r="F417" s="214"/>
      <c r="G417" s="214"/>
    </row>
    <row r="418" spans="1:7" s="251" customFormat="1">
      <c r="A418" s="250"/>
      <c r="B418" s="213"/>
      <c r="C418" s="214"/>
      <c r="D418" s="214"/>
      <c r="E418" s="214"/>
      <c r="F418" s="214"/>
      <c r="G418" s="214"/>
    </row>
    <row r="419" spans="1:7" s="251" customFormat="1">
      <c r="A419" s="250"/>
      <c r="B419" s="213"/>
      <c r="C419" s="214"/>
      <c r="D419" s="214"/>
      <c r="E419" s="214"/>
      <c r="F419" s="214"/>
      <c r="G419" s="214"/>
    </row>
    <row r="420" spans="1:7" s="251" customFormat="1">
      <c r="A420" s="250"/>
      <c r="B420" s="213"/>
      <c r="C420" s="214"/>
      <c r="D420" s="214"/>
      <c r="E420" s="214"/>
      <c r="F420" s="214"/>
      <c r="G420" s="214"/>
    </row>
    <row r="421" spans="1:7" s="251" customFormat="1">
      <c r="A421" s="250"/>
      <c r="B421" s="213"/>
      <c r="C421" s="214"/>
      <c r="D421" s="214"/>
      <c r="E421" s="214"/>
      <c r="F421" s="214"/>
      <c r="G421" s="214"/>
    </row>
    <row r="422" spans="1:7" s="251" customFormat="1">
      <c r="A422" s="250"/>
      <c r="B422" s="213"/>
      <c r="C422" s="214"/>
      <c r="D422" s="214"/>
      <c r="E422" s="214"/>
      <c r="F422" s="214"/>
      <c r="G422" s="214"/>
    </row>
    <row r="423" spans="1:7" s="251" customFormat="1">
      <c r="A423" s="250"/>
      <c r="B423" s="213"/>
      <c r="C423" s="214"/>
      <c r="D423" s="214"/>
      <c r="E423" s="214"/>
      <c r="F423" s="214"/>
      <c r="G423" s="214"/>
    </row>
    <row r="424" spans="1:7" s="251" customFormat="1">
      <c r="A424" s="250"/>
      <c r="B424" s="213"/>
      <c r="C424" s="214"/>
      <c r="D424" s="214"/>
      <c r="E424" s="214"/>
      <c r="F424" s="214"/>
      <c r="G424" s="214"/>
    </row>
    <row r="425" spans="1:7" s="251" customFormat="1">
      <c r="A425" s="250"/>
      <c r="B425" s="213"/>
      <c r="C425" s="214"/>
      <c r="D425" s="214"/>
      <c r="E425" s="214"/>
      <c r="F425" s="214"/>
      <c r="G425" s="214"/>
    </row>
    <row r="426" spans="1:7" s="251" customFormat="1">
      <c r="A426" s="250"/>
      <c r="B426" s="213"/>
      <c r="C426" s="214"/>
      <c r="D426" s="214"/>
      <c r="E426" s="214"/>
      <c r="F426" s="214"/>
      <c r="G426" s="214"/>
    </row>
    <row r="427" spans="1:7" s="251" customFormat="1">
      <c r="A427" s="250"/>
      <c r="B427" s="213"/>
      <c r="C427" s="214"/>
      <c r="D427" s="214"/>
      <c r="E427" s="214"/>
      <c r="F427" s="214"/>
      <c r="G427" s="214"/>
    </row>
    <row r="428" spans="1:7" s="251" customFormat="1">
      <c r="A428" s="250"/>
      <c r="B428" s="213"/>
      <c r="C428" s="214"/>
      <c r="D428" s="214"/>
      <c r="E428" s="214"/>
      <c r="F428" s="214"/>
      <c r="G428" s="214"/>
    </row>
    <row r="429" spans="1:7" s="251" customFormat="1">
      <c r="A429" s="250"/>
      <c r="B429" s="213"/>
      <c r="C429" s="214"/>
      <c r="D429" s="214"/>
      <c r="E429" s="214"/>
      <c r="F429" s="214"/>
      <c r="G429" s="214"/>
    </row>
    <row r="430" spans="1:7" s="251" customFormat="1">
      <c r="A430" s="250"/>
      <c r="B430" s="213"/>
      <c r="C430" s="214"/>
      <c r="D430" s="214"/>
      <c r="E430" s="214"/>
      <c r="F430" s="214"/>
      <c r="G430" s="214"/>
    </row>
    <row r="431" spans="1:7" s="251" customFormat="1">
      <c r="A431" s="250"/>
      <c r="B431" s="213"/>
      <c r="C431" s="214"/>
      <c r="D431" s="214"/>
      <c r="E431" s="214"/>
      <c r="F431" s="214"/>
      <c r="G431" s="214"/>
    </row>
    <row r="432" spans="1:7" s="251" customFormat="1">
      <c r="A432" s="250"/>
      <c r="B432" s="213"/>
      <c r="C432" s="214"/>
      <c r="D432" s="214"/>
      <c r="E432" s="214"/>
      <c r="F432" s="214"/>
      <c r="G432" s="214"/>
    </row>
    <row r="433" spans="1:7" s="251" customFormat="1">
      <c r="A433" s="250"/>
      <c r="B433" s="213"/>
      <c r="C433" s="214"/>
      <c r="D433" s="214"/>
      <c r="E433" s="214"/>
      <c r="F433" s="214"/>
      <c r="G433" s="214"/>
    </row>
    <row r="434" spans="1:7" s="251" customFormat="1">
      <c r="A434" s="250"/>
      <c r="B434" s="213"/>
      <c r="C434" s="214"/>
      <c r="D434" s="214"/>
      <c r="E434" s="214"/>
      <c r="F434" s="214"/>
      <c r="G434" s="214"/>
    </row>
    <row r="435" spans="1:7" s="251" customFormat="1">
      <c r="A435" s="250"/>
      <c r="B435" s="213"/>
      <c r="C435" s="214"/>
      <c r="D435" s="214"/>
      <c r="E435" s="214"/>
      <c r="F435" s="214"/>
      <c r="G435" s="214"/>
    </row>
    <row r="436" spans="1:7" s="251" customFormat="1">
      <c r="A436" s="250"/>
      <c r="B436" s="213"/>
      <c r="C436" s="214"/>
      <c r="D436" s="214"/>
      <c r="E436" s="214"/>
      <c r="F436" s="214"/>
      <c r="G436" s="214"/>
    </row>
    <row r="437" spans="1:7" s="251" customFormat="1">
      <c r="A437" s="250"/>
      <c r="B437" s="213"/>
      <c r="C437" s="214"/>
      <c r="D437" s="214"/>
      <c r="E437" s="214"/>
      <c r="F437" s="214"/>
      <c r="G437" s="214"/>
    </row>
    <row r="438" spans="1:7" s="251" customFormat="1">
      <c r="A438" s="250"/>
      <c r="B438" s="213"/>
      <c r="C438" s="214"/>
      <c r="D438" s="214"/>
      <c r="E438" s="214"/>
      <c r="F438" s="214"/>
      <c r="G438" s="214"/>
    </row>
    <row r="439" spans="1:7" s="251" customFormat="1">
      <c r="A439" s="250"/>
      <c r="B439" s="213"/>
      <c r="C439" s="214"/>
      <c r="D439" s="214"/>
      <c r="E439" s="214"/>
      <c r="F439" s="214"/>
      <c r="G439" s="214"/>
    </row>
    <row r="440" spans="1:7" s="251" customFormat="1">
      <c r="A440" s="250"/>
      <c r="B440" s="213"/>
      <c r="C440" s="214"/>
      <c r="D440" s="214"/>
      <c r="E440" s="214"/>
      <c r="F440" s="214"/>
      <c r="G440" s="214"/>
    </row>
    <row r="441" spans="1:7" s="251" customFormat="1">
      <c r="A441" s="250"/>
      <c r="B441" s="213"/>
      <c r="C441" s="214"/>
      <c r="D441" s="214"/>
      <c r="E441" s="214"/>
      <c r="F441" s="214"/>
      <c r="G441" s="214"/>
    </row>
    <row r="442" spans="1:7" s="251" customFormat="1">
      <c r="A442" s="250"/>
      <c r="B442" s="213"/>
      <c r="C442" s="214"/>
      <c r="D442" s="214"/>
      <c r="E442" s="214"/>
      <c r="F442" s="214"/>
      <c r="G442" s="214"/>
    </row>
    <row r="443" spans="1:7" s="251" customFormat="1">
      <c r="A443" s="250"/>
      <c r="B443" s="213"/>
      <c r="C443" s="214"/>
      <c r="D443" s="214"/>
      <c r="E443" s="214"/>
      <c r="F443" s="214"/>
      <c r="G443" s="214"/>
    </row>
    <row r="444" spans="1:7" s="251" customFormat="1">
      <c r="A444" s="250"/>
      <c r="B444" s="213"/>
      <c r="C444" s="214"/>
      <c r="D444" s="214"/>
      <c r="E444" s="214"/>
      <c r="F444" s="214"/>
      <c r="G444" s="214"/>
    </row>
    <row r="445" spans="1:7" s="251" customFormat="1">
      <c r="A445" s="250"/>
      <c r="B445" s="213"/>
      <c r="C445" s="214"/>
      <c r="D445" s="214"/>
      <c r="E445" s="214"/>
      <c r="F445" s="214"/>
      <c r="G445" s="214"/>
    </row>
    <row r="446" spans="1:7" s="251" customFormat="1">
      <c r="A446" s="250"/>
      <c r="B446" s="213"/>
      <c r="C446" s="214"/>
      <c r="D446" s="214"/>
      <c r="E446" s="214"/>
      <c r="F446" s="214"/>
      <c r="G446" s="214"/>
    </row>
    <row r="447" spans="1:7" s="251" customFormat="1">
      <c r="A447" s="250"/>
      <c r="B447" s="213"/>
      <c r="C447" s="214"/>
      <c r="D447" s="214"/>
      <c r="E447" s="214"/>
      <c r="F447" s="214"/>
      <c r="G447" s="214"/>
    </row>
    <row r="448" spans="1:7" s="251" customFormat="1">
      <c r="A448" s="250"/>
      <c r="B448" s="213"/>
      <c r="C448" s="214"/>
      <c r="D448" s="214"/>
      <c r="E448" s="214"/>
      <c r="F448" s="214"/>
      <c r="G448" s="214"/>
    </row>
    <row r="449" spans="1:7" s="251" customFormat="1">
      <c r="A449" s="250"/>
      <c r="B449" s="213"/>
      <c r="C449" s="214"/>
      <c r="D449" s="214"/>
      <c r="E449" s="214"/>
      <c r="F449" s="214"/>
      <c r="G449" s="214"/>
    </row>
    <row r="450" spans="1:7" s="251" customFormat="1">
      <c r="A450" s="250"/>
      <c r="B450" s="213"/>
      <c r="C450" s="214"/>
      <c r="D450" s="214"/>
      <c r="E450" s="214"/>
      <c r="F450" s="214"/>
      <c r="G450" s="214"/>
    </row>
    <row r="451" spans="1:7" s="251" customFormat="1">
      <c r="A451" s="250"/>
      <c r="B451" s="213"/>
      <c r="C451" s="214"/>
      <c r="D451" s="214"/>
      <c r="E451" s="214"/>
      <c r="F451" s="214"/>
      <c r="G451" s="214"/>
    </row>
    <row r="452" spans="1:7" s="251" customFormat="1">
      <c r="A452" s="250"/>
      <c r="B452" s="213"/>
      <c r="C452" s="214"/>
      <c r="D452" s="214"/>
      <c r="E452" s="214"/>
      <c r="F452" s="214"/>
      <c r="G452" s="214"/>
    </row>
    <row r="453" spans="1:7" s="251" customFormat="1">
      <c r="A453" s="250"/>
      <c r="B453" s="213"/>
      <c r="C453" s="214"/>
      <c r="D453" s="214"/>
      <c r="E453" s="214"/>
      <c r="F453" s="214"/>
      <c r="G453" s="214"/>
    </row>
    <row r="454" spans="1:7" s="251" customFormat="1">
      <c r="A454" s="250"/>
      <c r="B454" s="213"/>
      <c r="C454" s="214"/>
      <c r="D454" s="214"/>
      <c r="E454" s="214"/>
      <c r="F454" s="214"/>
      <c r="G454" s="214"/>
    </row>
    <row r="455" spans="1:7" s="251" customFormat="1">
      <c r="A455" s="250"/>
      <c r="B455" s="213"/>
      <c r="C455" s="214"/>
      <c r="D455" s="214"/>
      <c r="E455" s="214"/>
      <c r="F455" s="214"/>
      <c r="G455" s="214"/>
    </row>
    <row r="456" spans="1:7" s="251" customFormat="1">
      <c r="A456" s="250"/>
      <c r="B456" s="213"/>
      <c r="C456" s="214"/>
      <c r="D456" s="214"/>
      <c r="E456" s="214"/>
      <c r="F456" s="214"/>
      <c r="G456" s="214"/>
    </row>
    <row r="457" spans="1:7" s="251" customFormat="1">
      <c r="A457" s="250"/>
      <c r="B457" s="213"/>
      <c r="C457" s="214"/>
      <c r="D457" s="214"/>
      <c r="E457" s="214"/>
      <c r="F457" s="214"/>
      <c r="G457" s="214"/>
    </row>
    <row r="458" spans="1:7" s="251" customFormat="1">
      <c r="A458" s="250"/>
      <c r="B458" s="213"/>
      <c r="C458" s="214"/>
      <c r="D458" s="214"/>
      <c r="E458" s="214"/>
      <c r="F458" s="214"/>
      <c r="G458" s="214"/>
    </row>
    <row r="459" spans="1:7" s="251" customFormat="1">
      <c r="A459" s="250"/>
      <c r="B459" s="213"/>
      <c r="C459" s="214"/>
      <c r="D459" s="214"/>
      <c r="E459" s="214"/>
      <c r="F459" s="214"/>
      <c r="G459" s="214"/>
    </row>
    <row r="460" spans="1:7" s="251" customFormat="1">
      <c r="A460" s="250"/>
      <c r="B460" s="213"/>
      <c r="C460" s="214"/>
      <c r="D460" s="214"/>
      <c r="E460" s="214"/>
      <c r="F460" s="214"/>
      <c r="G460" s="214"/>
    </row>
    <row r="461" spans="1:7" s="251" customFormat="1">
      <c r="A461" s="250"/>
      <c r="B461" s="213"/>
      <c r="C461" s="214"/>
      <c r="D461" s="214"/>
      <c r="E461" s="214"/>
      <c r="F461" s="214"/>
      <c r="G461" s="214"/>
    </row>
    <row r="462" spans="1:7" s="251" customFormat="1">
      <c r="A462" s="250"/>
      <c r="B462" s="213"/>
      <c r="C462" s="214"/>
      <c r="D462" s="214"/>
      <c r="E462" s="214"/>
      <c r="F462" s="214"/>
      <c r="G462" s="214"/>
    </row>
    <row r="463" spans="1:7" s="251" customFormat="1">
      <c r="A463" s="250"/>
      <c r="B463" s="213"/>
      <c r="C463" s="214"/>
      <c r="D463" s="214"/>
      <c r="E463" s="214"/>
      <c r="F463" s="214"/>
      <c r="G463" s="214"/>
    </row>
    <row r="464" spans="1:7" s="251" customFormat="1">
      <c r="A464" s="250"/>
      <c r="B464" s="213"/>
      <c r="C464" s="214"/>
      <c r="D464" s="214"/>
      <c r="E464" s="214"/>
      <c r="F464" s="214"/>
      <c r="G464" s="214"/>
    </row>
    <row r="465" spans="1:7" s="251" customFormat="1">
      <c r="A465" s="250"/>
      <c r="B465" s="213"/>
      <c r="C465" s="214"/>
      <c r="D465" s="214"/>
      <c r="E465" s="214"/>
      <c r="F465" s="214"/>
      <c r="G465" s="214"/>
    </row>
    <row r="466" spans="1:7" s="251" customFormat="1">
      <c r="A466" s="250"/>
      <c r="B466" s="213"/>
      <c r="C466" s="214"/>
      <c r="D466" s="214"/>
      <c r="E466" s="214"/>
      <c r="F466" s="214"/>
      <c r="G466" s="214"/>
    </row>
    <row r="467" spans="1:7" s="251" customFormat="1">
      <c r="A467" s="250"/>
      <c r="B467" s="213"/>
      <c r="C467" s="214"/>
      <c r="D467" s="214"/>
      <c r="E467" s="214"/>
      <c r="F467" s="214"/>
      <c r="G467" s="214"/>
    </row>
    <row r="468" spans="1:7" s="251" customFormat="1">
      <c r="A468" s="250"/>
      <c r="B468" s="213"/>
      <c r="C468" s="214"/>
      <c r="D468" s="214"/>
      <c r="E468" s="214"/>
      <c r="F468" s="214"/>
      <c r="G468" s="214"/>
    </row>
    <row r="469" spans="1:7" s="251" customFormat="1">
      <c r="A469" s="250"/>
      <c r="B469" s="213"/>
      <c r="C469" s="214"/>
      <c r="D469" s="214"/>
      <c r="E469" s="214"/>
      <c r="F469" s="214"/>
      <c r="G469" s="214"/>
    </row>
    <row r="470" spans="1:7" s="251" customFormat="1">
      <c r="A470" s="250"/>
      <c r="B470" s="213"/>
      <c r="C470" s="214"/>
      <c r="D470" s="214"/>
      <c r="E470" s="214"/>
      <c r="F470" s="214"/>
      <c r="G470" s="214"/>
    </row>
    <row r="471" spans="1:7" s="251" customFormat="1">
      <c r="A471" s="250"/>
      <c r="B471" s="213"/>
      <c r="C471" s="214"/>
      <c r="D471" s="214"/>
      <c r="E471" s="214"/>
      <c r="F471" s="214"/>
      <c r="G471" s="214"/>
    </row>
    <row r="472" spans="1:7" s="251" customFormat="1">
      <c r="A472" s="250"/>
      <c r="B472" s="213"/>
      <c r="C472" s="214"/>
      <c r="D472" s="214"/>
      <c r="E472" s="214"/>
      <c r="F472" s="214"/>
      <c r="G472" s="214"/>
    </row>
    <row r="473" spans="1:7" s="251" customFormat="1">
      <c r="A473" s="250"/>
      <c r="B473" s="213"/>
      <c r="C473" s="214"/>
      <c r="D473" s="214"/>
      <c r="E473" s="214"/>
      <c r="F473" s="214"/>
      <c r="G473" s="214"/>
    </row>
    <row r="474" spans="1:7" s="251" customFormat="1">
      <c r="A474" s="250"/>
      <c r="B474" s="213"/>
      <c r="C474" s="214"/>
      <c r="D474" s="214"/>
      <c r="E474" s="214"/>
      <c r="F474" s="214"/>
      <c r="G474" s="214"/>
    </row>
    <row r="475" spans="1:7" s="251" customFormat="1">
      <c r="A475" s="250"/>
      <c r="B475" s="213"/>
      <c r="C475" s="214"/>
      <c r="D475" s="214"/>
      <c r="E475" s="214"/>
      <c r="F475" s="214"/>
      <c r="G475" s="214"/>
    </row>
    <row r="476" spans="1:7" s="251" customFormat="1">
      <c r="A476" s="250"/>
      <c r="B476" s="213"/>
      <c r="C476" s="214"/>
      <c r="D476" s="214"/>
      <c r="E476" s="214"/>
      <c r="F476" s="214"/>
      <c r="G476" s="214"/>
    </row>
    <row r="477" spans="1:7" s="251" customFormat="1">
      <c r="A477" s="250"/>
      <c r="B477" s="213"/>
      <c r="C477" s="214"/>
      <c r="D477" s="214"/>
      <c r="E477" s="214"/>
      <c r="F477" s="214"/>
      <c r="G477" s="214"/>
    </row>
    <row r="478" spans="1:7" s="251" customFormat="1">
      <c r="A478" s="250"/>
      <c r="B478" s="213"/>
      <c r="C478" s="214"/>
      <c r="D478" s="214"/>
      <c r="E478" s="214"/>
      <c r="F478" s="214"/>
      <c r="G478" s="214"/>
    </row>
    <row r="479" spans="1:7" s="251" customFormat="1">
      <c r="A479" s="250"/>
      <c r="B479" s="213"/>
      <c r="C479" s="214"/>
      <c r="D479" s="214"/>
      <c r="E479" s="214"/>
      <c r="F479" s="214"/>
      <c r="G479" s="214"/>
    </row>
    <row r="480" spans="1:7" s="251" customFormat="1">
      <c r="A480" s="250"/>
      <c r="B480" s="213"/>
      <c r="C480" s="214"/>
      <c r="D480" s="214"/>
      <c r="E480" s="214"/>
      <c r="F480" s="214"/>
      <c r="G480" s="214"/>
    </row>
    <row r="481" spans="1:7" s="251" customFormat="1">
      <c r="A481" s="250"/>
      <c r="B481" s="213"/>
      <c r="C481" s="214"/>
      <c r="D481" s="214"/>
      <c r="E481" s="214"/>
      <c r="F481" s="214"/>
      <c r="G481" s="214"/>
    </row>
    <row r="482" spans="1:7" s="251" customFormat="1">
      <c r="A482" s="250"/>
      <c r="B482" s="213"/>
      <c r="C482" s="214"/>
      <c r="D482" s="214"/>
      <c r="E482" s="214"/>
      <c r="F482" s="214"/>
      <c r="G482" s="214"/>
    </row>
    <row r="483" spans="1:7" s="251" customFormat="1">
      <c r="A483" s="250"/>
      <c r="B483" s="213"/>
      <c r="C483" s="214"/>
      <c r="D483" s="214"/>
      <c r="E483" s="214"/>
      <c r="F483" s="214"/>
      <c r="G483" s="214"/>
    </row>
    <row r="484" spans="1:7" s="251" customFormat="1">
      <c r="A484" s="250"/>
      <c r="B484" s="213"/>
      <c r="C484" s="214"/>
      <c r="D484" s="214"/>
      <c r="E484" s="214"/>
      <c r="F484" s="214"/>
      <c r="G484" s="214"/>
    </row>
    <row r="485" spans="1:7" s="251" customFormat="1">
      <c r="A485" s="250"/>
      <c r="B485" s="213"/>
      <c r="C485" s="214"/>
      <c r="D485" s="214"/>
      <c r="E485" s="214"/>
      <c r="F485" s="214"/>
      <c r="G485" s="214"/>
    </row>
    <row r="486" spans="1:7" s="251" customFormat="1">
      <c r="A486" s="250"/>
      <c r="B486" s="213"/>
      <c r="C486" s="214"/>
      <c r="D486" s="214"/>
      <c r="E486" s="214"/>
      <c r="F486" s="214"/>
      <c r="G486" s="214"/>
    </row>
    <row r="487" spans="1:7" s="251" customFormat="1">
      <c r="A487" s="250"/>
      <c r="B487" s="213"/>
      <c r="C487" s="214"/>
      <c r="D487" s="214"/>
      <c r="E487" s="214"/>
      <c r="F487" s="214"/>
      <c r="G487" s="214"/>
    </row>
    <row r="488" spans="1:7" s="251" customFormat="1">
      <c r="A488" s="250"/>
      <c r="B488" s="213"/>
      <c r="C488" s="214"/>
      <c r="D488" s="214"/>
      <c r="E488" s="214"/>
      <c r="F488" s="214"/>
      <c r="G488" s="214"/>
    </row>
    <row r="489" spans="1:7" s="251" customFormat="1">
      <c r="A489" s="250"/>
      <c r="B489" s="213"/>
      <c r="C489" s="214"/>
      <c r="D489" s="214"/>
      <c r="E489" s="214"/>
      <c r="F489" s="214"/>
      <c r="G489" s="214"/>
    </row>
    <row r="490" spans="1:7" s="251" customFormat="1">
      <c r="A490" s="250"/>
      <c r="B490" s="213"/>
      <c r="C490" s="214"/>
      <c r="D490" s="214"/>
      <c r="E490" s="214"/>
      <c r="F490" s="214"/>
      <c r="G490" s="214"/>
    </row>
    <row r="491" spans="1:7" s="251" customFormat="1">
      <c r="A491" s="250"/>
      <c r="B491" s="213"/>
      <c r="C491" s="214"/>
      <c r="D491" s="214"/>
      <c r="E491" s="214"/>
      <c r="F491" s="214"/>
      <c r="G491" s="214"/>
    </row>
    <row r="492" spans="1:7" s="251" customFormat="1">
      <c r="A492" s="250"/>
      <c r="B492" s="213"/>
      <c r="C492" s="214"/>
      <c r="D492" s="214"/>
      <c r="E492" s="214"/>
      <c r="F492" s="214"/>
      <c r="G492" s="214"/>
    </row>
    <row r="493" spans="1:7" s="251" customFormat="1">
      <c r="A493" s="250"/>
      <c r="B493" s="213"/>
      <c r="C493" s="214"/>
      <c r="D493" s="214"/>
      <c r="E493" s="214"/>
      <c r="F493" s="214"/>
      <c r="G493" s="214"/>
    </row>
    <row r="494" spans="1:7" s="251" customFormat="1">
      <c r="A494" s="250"/>
      <c r="B494" s="213"/>
      <c r="C494" s="214"/>
      <c r="D494" s="214"/>
      <c r="E494" s="214"/>
      <c r="F494" s="214"/>
      <c r="G494" s="214"/>
    </row>
    <row r="495" spans="1:7" s="251" customFormat="1">
      <c r="A495" s="250"/>
      <c r="B495" s="213"/>
      <c r="C495" s="214"/>
      <c r="D495" s="214"/>
      <c r="E495" s="214"/>
      <c r="F495" s="214"/>
      <c r="G495" s="214"/>
    </row>
    <row r="496" spans="1:7" s="251" customFormat="1">
      <c r="A496" s="250"/>
      <c r="B496" s="213"/>
      <c r="C496" s="214"/>
      <c r="D496" s="214"/>
      <c r="E496" s="214"/>
      <c r="F496" s="214"/>
      <c r="G496" s="214"/>
    </row>
    <row r="497" spans="1:7" s="251" customFormat="1">
      <c r="A497" s="250"/>
      <c r="B497" s="213"/>
      <c r="C497" s="214"/>
      <c r="D497" s="214"/>
      <c r="E497" s="214"/>
      <c r="F497" s="214"/>
      <c r="G497" s="214"/>
    </row>
    <row r="498" spans="1:7" s="251" customFormat="1">
      <c r="A498" s="250"/>
      <c r="B498" s="213"/>
      <c r="C498" s="214"/>
      <c r="D498" s="214"/>
      <c r="E498" s="214"/>
      <c r="F498" s="214"/>
      <c r="G498" s="214"/>
    </row>
    <row r="499" spans="1:7" s="251" customFormat="1">
      <c r="A499" s="250"/>
      <c r="B499" s="213"/>
      <c r="C499" s="214"/>
      <c r="D499" s="214"/>
      <c r="E499" s="214"/>
      <c r="F499" s="214"/>
      <c r="G499" s="214"/>
    </row>
    <row r="500" spans="1:7" s="251" customFormat="1">
      <c r="A500" s="250"/>
      <c r="B500" s="213"/>
      <c r="C500" s="214"/>
      <c r="D500" s="214"/>
      <c r="E500" s="214"/>
      <c r="F500" s="214"/>
      <c r="G500" s="214"/>
    </row>
    <row r="501" spans="1:7" s="251" customFormat="1">
      <c r="A501" s="250"/>
      <c r="B501" s="213"/>
      <c r="C501" s="214"/>
      <c r="D501" s="214"/>
      <c r="E501" s="214"/>
      <c r="F501" s="214"/>
      <c r="G501" s="214"/>
    </row>
    <row r="502" spans="1:7" s="251" customFormat="1">
      <c r="A502" s="250"/>
      <c r="B502" s="213"/>
      <c r="C502" s="214"/>
      <c r="D502" s="214"/>
      <c r="E502" s="214"/>
      <c r="F502" s="214"/>
      <c r="G502" s="214"/>
    </row>
    <row r="503" spans="1:7" s="251" customFormat="1">
      <c r="A503" s="250"/>
      <c r="B503" s="213"/>
      <c r="C503" s="214"/>
      <c r="D503" s="214"/>
      <c r="E503" s="214"/>
      <c r="F503" s="214"/>
      <c r="G503" s="214"/>
    </row>
    <row r="504" spans="1:7" s="251" customFormat="1">
      <c r="A504" s="250"/>
      <c r="B504" s="213"/>
      <c r="C504" s="214"/>
      <c r="D504" s="214"/>
      <c r="E504" s="214"/>
      <c r="F504" s="214"/>
      <c r="G504" s="214"/>
    </row>
    <row r="505" spans="1:7" s="251" customFormat="1">
      <c r="A505" s="250"/>
      <c r="B505" s="213"/>
      <c r="C505" s="214"/>
      <c r="D505" s="214"/>
      <c r="E505" s="214"/>
      <c r="F505" s="214"/>
      <c r="G505" s="214"/>
    </row>
    <row r="506" spans="1:7" s="251" customFormat="1">
      <c r="A506" s="250"/>
      <c r="B506" s="213"/>
      <c r="C506" s="214"/>
      <c r="D506" s="214"/>
      <c r="E506" s="214"/>
      <c r="F506" s="214"/>
      <c r="G506" s="214"/>
    </row>
    <row r="507" spans="1:7" s="251" customFormat="1">
      <c r="A507" s="250"/>
      <c r="B507" s="213"/>
      <c r="C507" s="214"/>
      <c r="D507" s="214"/>
      <c r="E507" s="214"/>
      <c r="F507" s="214"/>
      <c r="G507" s="214"/>
    </row>
    <row r="508" spans="1:7" s="251" customFormat="1">
      <c r="A508" s="250"/>
      <c r="B508" s="213"/>
      <c r="C508" s="214"/>
      <c r="D508" s="214"/>
      <c r="E508" s="214"/>
      <c r="F508" s="214"/>
      <c r="G508" s="214"/>
    </row>
    <row r="509" spans="1:7" s="251" customFormat="1">
      <c r="A509" s="250"/>
      <c r="B509" s="213"/>
      <c r="C509" s="214"/>
      <c r="D509" s="214"/>
      <c r="E509" s="214"/>
      <c r="F509" s="214"/>
      <c r="G509" s="214"/>
    </row>
    <row r="510" spans="1:7" s="251" customFormat="1">
      <c r="A510" s="250"/>
      <c r="B510" s="213"/>
      <c r="C510" s="214"/>
      <c r="D510" s="214"/>
      <c r="E510" s="214"/>
      <c r="F510" s="214"/>
      <c r="G510" s="214"/>
    </row>
    <row r="511" spans="1:7" s="251" customFormat="1">
      <c r="A511" s="250"/>
      <c r="B511" s="213"/>
      <c r="C511" s="214"/>
      <c r="D511" s="214"/>
      <c r="E511" s="214"/>
      <c r="F511" s="214"/>
      <c r="G511" s="214"/>
    </row>
    <row r="512" spans="1:7" s="251" customFormat="1">
      <c r="A512" s="250"/>
      <c r="B512" s="213"/>
      <c r="C512" s="214"/>
      <c r="D512" s="214"/>
      <c r="E512" s="214"/>
      <c r="F512" s="214"/>
      <c r="G512" s="214"/>
    </row>
    <row r="513" spans="1:7" s="251" customFormat="1">
      <c r="A513" s="250"/>
      <c r="B513" s="213"/>
      <c r="C513" s="214"/>
      <c r="D513" s="214"/>
      <c r="E513" s="214"/>
      <c r="F513" s="214"/>
      <c r="G513" s="214"/>
    </row>
    <row r="514" spans="1:7" s="251" customFormat="1">
      <c r="A514" s="250"/>
      <c r="B514" s="213"/>
      <c r="C514" s="214"/>
      <c r="D514" s="214"/>
      <c r="E514" s="214"/>
      <c r="F514" s="214"/>
      <c r="G514" s="214"/>
    </row>
    <row r="515" spans="1:7" s="251" customFormat="1">
      <c r="A515" s="250"/>
      <c r="B515" s="213"/>
      <c r="C515" s="214"/>
      <c r="D515" s="214"/>
      <c r="E515" s="214"/>
      <c r="F515" s="214"/>
      <c r="G515" s="214"/>
    </row>
    <row r="516" spans="1:7" s="251" customFormat="1">
      <c r="A516" s="250"/>
      <c r="B516" s="213"/>
      <c r="C516" s="214"/>
      <c r="D516" s="214"/>
      <c r="E516" s="214"/>
      <c r="F516" s="214"/>
      <c r="G516" s="214"/>
    </row>
    <row r="517" spans="1:7" s="251" customFormat="1">
      <c r="A517" s="250"/>
      <c r="B517" s="213"/>
      <c r="C517" s="214"/>
      <c r="D517" s="214"/>
      <c r="E517" s="214"/>
      <c r="F517" s="214"/>
      <c r="G517" s="214"/>
    </row>
    <row r="518" spans="1:7" s="251" customFormat="1">
      <c r="A518" s="250"/>
      <c r="B518" s="213"/>
      <c r="C518" s="214"/>
      <c r="D518" s="214"/>
      <c r="E518" s="214"/>
      <c r="F518" s="214"/>
      <c r="G518" s="214"/>
    </row>
    <row r="519" spans="1:7" s="251" customFormat="1">
      <c r="A519" s="250"/>
      <c r="B519" s="213"/>
      <c r="C519" s="214"/>
      <c r="D519" s="214"/>
      <c r="E519" s="214"/>
      <c r="F519" s="214"/>
      <c r="G519" s="214"/>
    </row>
    <row r="520" spans="1:7" s="251" customFormat="1">
      <c r="A520" s="250"/>
      <c r="B520" s="213"/>
      <c r="C520" s="214"/>
      <c r="D520" s="214"/>
      <c r="E520" s="214"/>
      <c r="F520" s="214"/>
      <c r="G520" s="214"/>
    </row>
    <row r="521" spans="1:7" s="251" customFormat="1">
      <c r="A521" s="250"/>
      <c r="B521" s="213"/>
      <c r="C521" s="214"/>
      <c r="D521" s="214"/>
      <c r="E521" s="214"/>
      <c r="F521" s="214"/>
      <c r="G521" s="214"/>
    </row>
    <row r="522" spans="1:7" s="251" customFormat="1">
      <c r="A522" s="250"/>
      <c r="B522" s="213"/>
      <c r="C522" s="214"/>
      <c r="D522" s="214"/>
      <c r="E522" s="214"/>
      <c r="F522" s="214"/>
      <c r="G522" s="214"/>
    </row>
    <row r="523" spans="1:7" s="251" customFormat="1">
      <c r="A523" s="250"/>
      <c r="B523" s="213"/>
      <c r="C523" s="214"/>
      <c r="D523" s="214"/>
      <c r="E523" s="214"/>
      <c r="F523" s="214"/>
      <c r="G523" s="214"/>
    </row>
    <row r="524" spans="1:7" s="251" customFormat="1">
      <c r="A524" s="250"/>
      <c r="B524" s="213"/>
      <c r="C524" s="214"/>
      <c r="D524" s="214"/>
      <c r="E524" s="214"/>
      <c r="F524" s="214"/>
      <c r="G524" s="214"/>
    </row>
    <row r="525" spans="1:7" s="251" customFormat="1">
      <c r="A525" s="250"/>
      <c r="B525" s="213"/>
      <c r="C525" s="214"/>
      <c r="D525" s="214"/>
      <c r="E525" s="214"/>
      <c r="F525" s="214"/>
      <c r="G525" s="214"/>
    </row>
    <row r="526" spans="1:7" s="251" customFormat="1">
      <c r="A526" s="250"/>
      <c r="B526" s="213"/>
      <c r="C526" s="214"/>
      <c r="D526" s="214"/>
      <c r="E526" s="214"/>
      <c r="F526" s="214"/>
      <c r="G526" s="214"/>
    </row>
    <row r="527" spans="1:7" s="251" customFormat="1">
      <c r="A527" s="250"/>
      <c r="B527" s="213"/>
      <c r="C527" s="214"/>
      <c r="D527" s="214"/>
      <c r="E527" s="214"/>
      <c r="F527" s="214"/>
      <c r="G527" s="214"/>
    </row>
    <row r="528" spans="1:7" s="251" customFormat="1">
      <c r="A528" s="250"/>
      <c r="B528" s="213"/>
      <c r="C528" s="214"/>
      <c r="D528" s="214"/>
      <c r="E528" s="214"/>
      <c r="F528" s="214"/>
      <c r="G528" s="214"/>
    </row>
    <row r="529" spans="1:7" s="251" customFormat="1">
      <c r="A529" s="250"/>
      <c r="B529" s="213"/>
      <c r="C529" s="214"/>
      <c r="D529" s="214"/>
      <c r="E529" s="214"/>
      <c r="F529" s="214"/>
      <c r="G529" s="214"/>
    </row>
    <row r="530" spans="1:7" s="251" customFormat="1">
      <c r="A530" s="250"/>
      <c r="B530" s="213"/>
      <c r="C530" s="214"/>
      <c r="D530" s="214"/>
      <c r="E530" s="214"/>
      <c r="F530" s="214"/>
      <c r="G530" s="214"/>
    </row>
    <row r="531" spans="1:7" s="251" customFormat="1">
      <c r="A531" s="250"/>
      <c r="B531" s="213"/>
      <c r="C531" s="214"/>
      <c r="D531" s="214"/>
      <c r="E531" s="214"/>
      <c r="F531" s="214"/>
      <c r="G531" s="214"/>
    </row>
    <row r="532" spans="1:7" s="251" customFormat="1">
      <c r="A532" s="250"/>
      <c r="B532" s="213"/>
      <c r="C532" s="214"/>
      <c r="D532" s="214"/>
      <c r="E532" s="214"/>
      <c r="F532" s="214"/>
      <c r="G532" s="214"/>
    </row>
    <row r="533" spans="1:7" s="251" customFormat="1">
      <c r="A533" s="250"/>
      <c r="B533" s="213"/>
      <c r="C533" s="214"/>
      <c r="D533" s="214"/>
      <c r="E533" s="214"/>
      <c r="F533" s="214"/>
      <c r="G533" s="214"/>
    </row>
    <row r="534" spans="1:7" s="251" customFormat="1">
      <c r="A534" s="250"/>
      <c r="B534" s="213"/>
      <c r="C534" s="214"/>
      <c r="D534" s="214"/>
      <c r="E534" s="214"/>
      <c r="F534" s="214"/>
      <c r="G534" s="214"/>
    </row>
    <row r="535" spans="1:7" s="251" customFormat="1">
      <c r="A535" s="250"/>
      <c r="B535" s="213"/>
      <c r="C535" s="214"/>
      <c r="D535" s="214"/>
      <c r="E535" s="214"/>
      <c r="F535" s="214"/>
      <c r="G535" s="214"/>
    </row>
    <row r="536" spans="1:7" s="251" customFormat="1">
      <c r="A536" s="250"/>
      <c r="B536" s="213"/>
      <c r="C536" s="214"/>
      <c r="D536" s="214"/>
      <c r="E536" s="214"/>
      <c r="F536" s="214"/>
      <c r="G536" s="214"/>
    </row>
    <row r="537" spans="1:7" s="251" customFormat="1">
      <c r="A537" s="250"/>
      <c r="B537" s="213"/>
      <c r="C537" s="214"/>
      <c r="D537" s="214"/>
      <c r="E537" s="214"/>
      <c r="F537" s="214"/>
      <c r="G537" s="214"/>
    </row>
    <row r="538" spans="1:7" s="251" customFormat="1">
      <c r="A538" s="250"/>
      <c r="B538" s="213"/>
      <c r="C538" s="214"/>
      <c r="D538" s="214"/>
      <c r="E538" s="214"/>
      <c r="F538" s="214"/>
      <c r="G538" s="214"/>
    </row>
    <row r="539" spans="1:7" s="251" customFormat="1">
      <c r="A539" s="250"/>
      <c r="B539" s="213"/>
      <c r="C539" s="214"/>
      <c r="D539" s="214"/>
      <c r="E539" s="214"/>
      <c r="F539" s="214"/>
      <c r="G539" s="214"/>
    </row>
    <row r="540" spans="1:7" s="251" customFormat="1">
      <c r="A540" s="250"/>
      <c r="B540" s="213"/>
      <c r="C540" s="214"/>
      <c r="D540" s="214"/>
      <c r="E540" s="214"/>
      <c r="F540" s="214"/>
      <c r="G540" s="214"/>
    </row>
    <row r="541" spans="1:7" s="251" customFormat="1">
      <c r="A541" s="250"/>
      <c r="B541" s="213"/>
      <c r="C541" s="214"/>
      <c r="D541" s="214"/>
      <c r="E541" s="214"/>
      <c r="F541" s="214"/>
      <c r="G541" s="214"/>
    </row>
    <row r="542" spans="1:7" s="251" customFormat="1">
      <c r="A542" s="250"/>
      <c r="B542" s="213"/>
      <c r="C542" s="214"/>
      <c r="D542" s="214"/>
      <c r="E542" s="214"/>
      <c r="F542" s="214"/>
      <c r="G542" s="214"/>
    </row>
    <row r="543" spans="1:7" s="251" customFormat="1">
      <c r="A543" s="250"/>
      <c r="B543" s="213"/>
      <c r="C543" s="214"/>
      <c r="D543" s="214"/>
      <c r="E543" s="214"/>
      <c r="F543" s="214"/>
      <c r="G543" s="214"/>
    </row>
    <row r="544" spans="1:7" s="251" customFormat="1">
      <c r="A544" s="250"/>
      <c r="B544" s="213"/>
      <c r="C544" s="214"/>
      <c r="D544" s="214"/>
      <c r="E544" s="214"/>
      <c r="F544" s="214"/>
      <c r="G544" s="214"/>
    </row>
    <row r="545" spans="1:7" s="251" customFormat="1">
      <c r="A545" s="250"/>
      <c r="B545" s="213"/>
      <c r="C545" s="214"/>
      <c r="D545" s="214"/>
      <c r="E545" s="214"/>
      <c r="F545" s="214"/>
      <c r="G545" s="214"/>
    </row>
    <row r="546" spans="1:7" s="251" customFormat="1">
      <c r="A546" s="250"/>
      <c r="B546" s="213"/>
      <c r="C546" s="214"/>
      <c r="D546" s="214"/>
      <c r="E546" s="214"/>
      <c r="F546" s="214"/>
      <c r="G546" s="214"/>
    </row>
    <row r="547" spans="1:7" s="251" customFormat="1">
      <c r="A547" s="250"/>
      <c r="B547" s="213"/>
      <c r="C547" s="214"/>
      <c r="D547" s="214"/>
      <c r="E547" s="214"/>
      <c r="F547" s="214"/>
      <c r="G547" s="214"/>
    </row>
    <row r="548" spans="1:7" s="251" customFormat="1">
      <c r="A548" s="250"/>
      <c r="B548" s="213"/>
      <c r="C548" s="214"/>
      <c r="D548" s="214"/>
      <c r="E548" s="214"/>
      <c r="F548" s="214"/>
      <c r="G548" s="214"/>
    </row>
    <row r="549" spans="1:7" s="251" customFormat="1">
      <c r="A549" s="250"/>
      <c r="B549" s="213"/>
      <c r="C549" s="214"/>
      <c r="D549" s="214"/>
      <c r="E549" s="214"/>
      <c r="F549" s="214"/>
      <c r="G549" s="214"/>
    </row>
    <row r="550" spans="1:7" s="251" customFormat="1">
      <c r="A550" s="250"/>
      <c r="B550" s="213"/>
      <c r="C550" s="214"/>
      <c r="D550" s="214"/>
      <c r="E550" s="214"/>
      <c r="F550" s="214"/>
      <c r="G550" s="214"/>
    </row>
    <row r="551" spans="1:7" s="251" customFormat="1">
      <c r="A551" s="250"/>
      <c r="B551" s="213"/>
      <c r="C551" s="214"/>
      <c r="D551" s="214"/>
      <c r="E551" s="214"/>
      <c r="F551" s="214"/>
      <c r="G551" s="214"/>
    </row>
    <row r="552" spans="1:7" s="251" customFormat="1">
      <c r="A552" s="250"/>
      <c r="B552" s="213"/>
      <c r="C552" s="214"/>
      <c r="D552" s="214"/>
      <c r="E552" s="214"/>
      <c r="F552" s="214"/>
      <c r="G552" s="214"/>
    </row>
    <row r="553" spans="1:7" s="251" customFormat="1">
      <c r="A553" s="250"/>
      <c r="B553" s="213"/>
      <c r="C553" s="214"/>
      <c r="D553" s="214"/>
      <c r="E553" s="214"/>
      <c r="F553" s="214"/>
      <c r="G553" s="214"/>
    </row>
    <row r="554" spans="1:7" s="251" customFormat="1">
      <c r="A554" s="250"/>
      <c r="B554" s="213"/>
      <c r="C554" s="214"/>
      <c r="D554" s="214"/>
      <c r="E554" s="214"/>
      <c r="F554" s="214"/>
      <c r="G554" s="214"/>
    </row>
    <row r="555" spans="1:7" s="251" customFormat="1">
      <c r="A555" s="250"/>
      <c r="B555" s="213"/>
      <c r="C555" s="214"/>
      <c r="D555" s="214"/>
      <c r="E555" s="214"/>
      <c r="F555" s="214"/>
      <c r="G555" s="214"/>
    </row>
    <row r="556" spans="1:7" s="251" customFormat="1">
      <c r="A556" s="250"/>
      <c r="B556" s="213"/>
      <c r="C556" s="214"/>
      <c r="D556" s="214"/>
      <c r="E556" s="214"/>
      <c r="F556" s="214"/>
      <c r="G556" s="214"/>
    </row>
    <row r="557" spans="1:7" s="251" customFormat="1">
      <c r="A557" s="250"/>
      <c r="B557" s="213"/>
      <c r="C557" s="214"/>
      <c r="D557" s="214"/>
      <c r="E557" s="214"/>
      <c r="F557" s="214"/>
      <c r="G557" s="214"/>
    </row>
    <row r="558" spans="1:7" s="251" customFormat="1">
      <c r="A558" s="250"/>
      <c r="B558" s="213"/>
      <c r="C558" s="214"/>
      <c r="D558" s="214"/>
      <c r="E558" s="214"/>
      <c r="F558" s="214"/>
      <c r="G558" s="214"/>
    </row>
    <row r="559" spans="1:7" s="251" customFormat="1">
      <c r="A559" s="250"/>
      <c r="B559" s="213"/>
      <c r="C559" s="214"/>
      <c r="D559" s="214"/>
      <c r="E559" s="214"/>
      <c r="F559" s="214"/>
      <c r="G559" s="214"/>
    </row>
    <row r="560" spans="1:7" s="251" customFormat="1">
      <c r="A560" s="250"/>
      <c r="B560" s="213"/>
      <c r="C560" s="214"/>
      <c r="D560" s="214"/>
      <c r="E560" s="214"/>
      <c r="F560" s="214"/>
      <c r="G560" s="214"/>
    </row>
    <row r="561" spans="1:7" s="251" customFormat="1">
      <c r="A561" s="250"/>
      <c r="B561" s="213"/>
      <c r="C561" s="214"/>
      <c r="D561" s="214"/>
      <c r="E561" s="214"/>
      <c r="F561" s="214"/>
      <c r="G561" s="214"/>
    </row>
    <row r="562" spans="1:7" s="251" customFormat="1">
      <c r="A562" s="250"/>
      <c r="B562" s="213"/>
      <c r="C562" s="214"/>
      <c r="D562" s="214"/>
      <c r="E562" s="214"/>
      <c r="F562" s="214"/>
      <c r="G562" s="214"/>
    </row>
    <row r="563" spans="1:7" s="251" customFormat="1">
      <c r="A563" s="250"/>
      <c r="B563" s="213"/>
      <c r="C563" s="214"/>
      <c r="D563" s="214"/>
      <c r="E563" s="214"/>
      <c r="F563" s="214"/>
      <c r="G563" s="214"/>
    </row>
    <row r="564" spans="1:7" s="251" customFormat="1">
      <c r="A564" s="250"/>
      <c r="B564" s="213"/>
      <c r="C564" s="214"/>
      <c r="D564" s="214"/>
      <c r="E564" s="214"/>
      <c r="F564" s="214"/>
      <c r="G564" s="214"/>
    </row>
    <row r="565" spans="1:7" s="251" customFormat="1">
      <c r="A565" s="250"/>
      <c r="B565" s="213"/>
      <c r="C565" s="214"/>
      <c r="D565" s="214"/>
      <c r="E565" s="214"/>
      <c r="F565" s="214"/>
      <c r="G565" s="214"/>
    </row>
    <row r="566" spans="1:7" s="251" customFormat="1">
      <c r="A566" s="250"/>
      <c r="B566" s="213"/>
      <c r="C566" s="214"/>
      <c r="D566" s="214"/>
      <c r="E566" s="214"/>
      <c r="F566" s="214"/>
      <c r="G566" s="214"/>
    </row>
    <row r="567" spans="1:7" s="251" customFormat="1">
      <c r="A567" s="250"/>
      <c r="B567" s="213"/>
      <c r="C567" s="214"/>
      <c r="D567" s="214"/>
      <c r="E567" s="214"/>
      <c r="F567" s="214"/>
      <c r="G567" s="214"/>
    </row>
    <row r="568" spans="1:7" s="251" customFormat="1">
      <c r="A568" s="250"/>
      <c r="B568" s="213"/>
      <c r="C568" s="214"/>
      <c r="D568" s="214"/>
      <c r="E568" s="214"/>
      <c r="F568" s="214"/>
      <c r="G568" s="214"/>
    </row>
    <row r="569" spans="1:7" s="251" customFormat="1">
      <c r="A569" s="250"/>
      <c r="B569" s="213"/>
      <c r="C569" s="214"/>
      <c r="D569" s="214"/>
      <c r="E569" s="214"/>
      <c r="F569" s="214"/>
      <c r="G569" s="214"/>
    </row>
    <row r="570" spans="1:7" s="251" customFormat="1">
      <c r="A570" s="250"/>
      <c r="B570" s="213"/>
      <c r="C570" s="214"/>
      <c r="D570" s="214"/>
      <c r="E570" s="214"/>
      <c r="F570" s="214"/>
      <c r="G570" s="214"/>
    </row>
    <row r="571" spans="1:7" s="251" customFormat="1">
      <c r="A571" s="250"/>
      <c r="B571" s="213"/>
      <c r="C571" s="214"/>
      <c r="D571" s="214"/>
      <c r="E571" s="214"/>
      <c r="F571" s="214"/>
      <c r="G571" s="214"/>
    </row>
    <row r="572" spans="1:7" s="251" customFormat="1">
      <c r="A572" s="250"/>
      <c r="B572" s="213"/>
      <c r="C572" s="214"/>
      <c r="D572" s="214"/>
      <c r="E572" s="214"/>
      <c r="F572" s="214"/>
      <c r="G572" s="214"/>
    </row>
    <row r="573" spans="1:7" s="251" customFormat="1">
      <c r="A573" s="250"/>
      <c r="B573" s="213"/>
      <c r="C573" s="214"/>
      <c r="D573" s="214"/>
      <c r="E573" s="214"/>
      <c r="F573" s="214"/>
      <c r="G573" s="214"/>
    </row>
    <row r="574" spans="1:7" s="251" customFormat="1">
      <c r="A574" s="250"/>
      <c r="B574" s="213"/>
      <c r="C574" s="214"/>
      <c r="D574" s="214"/>
      <c r="E574" s="214"/>
      <c r="F574" s="214"/>
      <c r="G574" s="214"/>
    </row>
    <row r="575" spans="1:7" s="251" customFormat="1">
      <c r="A575" s="250"/>
      <c r="B575" s="213"/>
      <c r="C575" s="214"/>
      <c r="D575" s="214"/>
      <c r="E575" s="214"/>
      <c r="F575" s="214"/>
      <c r="G575" s="214"/>
    </row>
    <row r="576" spans="1:7" s="251" customFormat="1">
      <c r="A576" s="250"/>
      <c r="B576" s="213"/>
      <c r="C576" s="214"/>
      <c r="D576" s="214"/>
      <c r="E576" s="214"/>
      <c r="F576" s="214"/>
      <c r="G576" s="214"/>
    </row>
    <row r="577" spans="1:7" s="251" customFormat="1">
      <c r="A577" s="250"/>
      <c r="B577" s="213"/>
      <c r="C577" s="214"/>
      <c r="D577" s="214"/>
      <c r="E577" s="214"/>
      <c r="F577" s="214"/>
      <c r="G577" s="214"/>
    </row>
    <row r="578" spans="1:7" s="251" customFormat="1">
      <c r="A578" s="250"/>
      <c r="B578" s="213"/>
      <c r="C578" s="214"/>
      <c r="D578" s="214"/>
      <c r="E578" s="214"/>
      <c r="F578" s="214"/>
      <c r="G578" s="214"/>
    </row>
    <row r="579" spans="1:7" s="251" customFormat="1">
      <c r="A579" s="250"/>
      <c r="B579" s="213"/>
      <c r="C579" s="214"/>
      <c r="D579" s="214"/>
      <c r="E579" s="214"/>
      <c r="F579" s="214"/>
      <c r="G579" s="214"/>
    </row>
    <row r="580" spans="1:7" s="251" customFormat="1">
      <c r="A580" s="250"/>
      <c r="B580" s="213"/>
      <c r="C580" s="214"/>
      <c r="D580" s="214"/>
      <c r="E580" s="214"/>
      <c r="F580" s="214"/>
      <c r="G580" s="214"/>
    </row>
    <row r="581" spans="1:7" s="251" customFormat="1">
      <c r="A581" s="250"/>
      <c r="B581" s="213"/>
      <c r="C581" s="214"/>
      <c r="D581" s="214"/>
      <c r="E581" s="214"/>
      <c r="F581" s="214"/>
      <c r="G581" s="214"/>
    </row>
    <row r="582" spans="1:7" s="251" customFormat="1">
      <c r="A582" s="250"/>
      <c r="B582" s="213"/>
      <c r="C582" s="214"/>
      <c r="D582" s="214"/>
      <c r="E582" s="214"/>
      <c r="F582" s="214"/>
      <c r="G582" s="214"/>
    </row>
    <row r="583" spans="1:7" s="251" customFormat="1">
      <c r="A583" s="250"/>
      <c r="B583" s="213"/>
      <c r="C583" s="214"/>
      <c r="D583" s="214"/>
      <c r="E583" s="214"/>
      <c r="F583" s="214"/>
      <c r="G583" s="214"/>
    </row>
    <row r="584" spans="1:7" s="251" customFormat="1">
      <c r="A584" s="250"/>
      <c r="B584" s="213"/>
      <c r="C584" s="214"/>
      <c r="D584" s="214"/>
      <c r="E584" s="214"/>
      <c r="F584" s="214"/>
      <c r="G584" s="214"/>
    </row>
    <row r="585" spans="1:7" s="251" customFormat="1">
      <c r="A585" s="250"/>
      <c r="B585" s="213"/>
      <c r="C585" s="214"/>
      <c r="D585" s="214"/>
      <c r="E585" s="214"/>
      <c r="F585" s="214"/>
      <c r="G585" s="214"/>
    </row>
    <row r="586" spans="1:7" s="251" customFormat="1">
      <c r="A586" s="250"/>
      <c r="B586" s="213"/>
      <c r="C586" s="214"/>
      <c r="D586" s="214"/>
      <c r="E586" s="214"/>
      <c r="F586" s="214"/>
      <c r="G586" s="214"/>
    </row>
    <row r="587" spans="1:7" s="251" customFormat="1">
      <c r="A587" s="250"/>
      <c r="B587" s="213"/>
      <c r="C587" s="214"/>
      <c r="D587" s="214"/>
      <c r="E587" s="214"/>
      <c r="F587" s="214"/>
      <c r="G587" s="214"/>
    </row>
    <row r="588" spans="1:7" s="251" customFormat="1">
      <c r="A588" s="250"/>
      <c r="B588" s="213"/>
      <c r="C588" s="214"/>
      <c r="D588" s="214"/>
      <c r="E588" s="214"/>
      <c r="F588" s="214"/>
      <c r="G588" s="214"/>
    </row>
    <row r="589" spans="1:7" s="251" customFormat="1">
      <c r="A589" s="250"/>
      <c r="B589" s="213"/>
      <c r="C589" s="214"/>
      <c r="D589" s="214"/>
      <c r="E589" s="214"/>
      <c r="F589" s="214"/>
      <c r="G589" s="214"/>
    </row>
    <row r="590" spans="1:7" s="251" customFormat="1">
      <c r="A590" s="250"/>
      <c r="B590" s="213"/>
      <c r="C590" s="214"/>
      <c r="D590" s="214"/>
      <c r="E590" s="214"/>
      <c r="F590" s="214"/>
      <c r="G590" s="214"/>
    </row>
    <row r="591" spans="1:7" s="251" customFormat="1">
      <c r="A591" s="250"/>
      <c r="B591" s="213"/>
      <c r="C591" s="214"/>
      <c r="D591" s="214"/>
      <c r="E591" s="214"/>
      <c r="F591" s="214"/>
      <c r="G591" s="214"/>
    </row>
    <row r="592" spans="1:7" s="251" customFormat="1">
      <c r="A592" s="250"/>
      <c r="B592" s="213"/>
      <c r="C592" s="214"/>
      <c r="D592" s="214"/>
      <c r="E592" s="214"/>
      <c r="F592" s="214"/>
      <c r="G592" s="214"/>
    </row>
    <row r="593" spans="1:7" s="251" customFormat="1">
      <c r="A593" s="250"/>
      <c r="B593" s="213"/>
      <c r="C593" s="214"/>
      <c r="D593" s="214"/>
      <c r="E593" s="214"/>
      <c r="F593" s="214"/>
      <c r="G593" s="214"/>
    </row>
    <row r="594" spans="1:7" s="251" customFormat="1">
      <c r="A594" s="250"/>
      <c r="B594" s="213"/>
      <c r="C594" s="214"/>
      <c r="D594" s="214"/>
      <c r="E594" s="214"/>
      <c r="F594" s="214"/>
      <c r="G594" s="214"/>
    </row>
    <row r="595" spans="1:7" s="251" customFormat="1">
      <c r="A595" s="250"/>
      <c r="B595" s="213"/>
      <c r="C595" s="214"/>
      <c r="D595" s="214"/>
      <c r="E595" s="214"/>
      <c r="F595" s="214"/>
      <c r="G595" s="214"/>
    </row>
    <row r="596" spans="1:7" s="251" customFormat="1">
      <c r="A596" s="250"/>
      <c r="B596" s="213"/>
      <c r="C596" s="214"/>
      <c r="D596" s="214"/>
      <c r="E596" s="214"/>
      <c r="F596" s="214"/>
      <c r="G596" s="214"/>
    </row>
    <row r="597" spans="1:7" s="251" customFormat="1">
      <c r="A597" s="250"/>
      <c r="B597" s="213"/>
      <c r="C597" s="214"/>
      <c r="D597" s="214"/>
      <c r="E597" s="214"/>
      <c r="F597" s="214"/>
      <c r="G597" s="214"/>
    </row>
    <row r="598" spans="1:7" s="251" customFormat="1">
      <c r="A598" s="250"/>
      <c r="B598" s="213"/>
      <c r="C598" s="214"/>
      <c r="D598" s="214"/>
      <c r="E598" s="214"/>
      <c r="F598" s="214"/>
      <c r="G598" s="214"/>
    </row>
    <row r="599" spans="1:7" s="251" customFormat="1">
      <c r="A599" s="250"/>
      <c r="B599" s="213"/>
      <c r="C599" s="214"/>
      <c r="D599" s="214"/>
      <c r="E599" s="214"/>
      <c r="F599" s="214"/>
      <c r="G599" s="214"/>
    </row>
    <row r="600" spans="1:7" s="251" customFormat="1">
      <c r="A600" s="250"/>
      <c r="B600" s="213"/>
      <c r="C600" s="214"/>
      <c r="D600" s="214"/>
      <c r="E600" s="214"/>
      <c r="F600" s="214"/>
      <c r="G600" s="214"/>
    </row>
    <row r="601" spans="1:7" s="251" customFormat="1">
      <c r="A601" s="250"/>
      <c r="B601" s="213"/>
      <c r="C601" s="214"/>
      <c r="D601" s="214"/>
      <c r="E601" s="214"/>
      <c r="F601" s="214"/>
      <c r="G601" s="214"/>
    </row>
    <row r="602" spans="1:7" s="251" customFormat="1">
      <c r="A602" s="250"/>
      <c r="B602" s="213"/>
      <c r="C602" s="214"/>
      <c r="D602" s="214"/>
      <c r="E602" s="214"/>
      <c r="F602" s="214"/>
      <c r="G602" s="214"/>
    </row>
    <row r="603" spans="1:7" s="251" customFormat="1">
      <c r="A603" s="250"/>
      <c r="B603" s="213"/>
      <c r="C603" s="214"/>
      <c r="D603" s="214"/>
      <c r="E603" s="214"/>
      <c r="F603" s="214"/>
      <c r="G603" s="214"/>
    </row>
    <row r="604" spans="1:7" s="251" customFormat="1">
      <c r="A604" s="250"/>
      <c r="B604" s="213"/>
      <c r="C604" s="214"/>
      <c r="D604" s="214"/>
      <c r="E604" s="214"/>
      <c r="F604" s="214"/>
      <c r="G604" s="214"/>
    </row>
    <row r="605" spans="1:7" s="251" customFormat="1">
      <c r="A605" s="250"/>
      <c r="B605" s="213"/>
      <c r="C605" s="214"/>
      <c r="D605" s="214"/>
      <c r="E605" s="214"/>
      <c r="F605" s="214"/>
      <c r="G605" s="214"/>
    </row>
    <row r="606" spans="1:7" s="251" customFormat="1">
      <c r="A606" s="250"/>
      <c r="B606" s="213"/>
      <c r="C606" s="214"/>
      <c r="D606" s="214"/>
      <c r="E606" s="214"/>
      <c r="F606" s="214"/>
      <c r="G606" s="214"/>
    </row>
    <row r="607" spans="1:7" s="251" customFormat="1">
      <c r="A607" s="250"/>
      <c r="B607" s="213"/>
      <c r="C607" s="214"/>
      <c r="D607" s="214"/>
      <c r="E607" s="214"/>
      <c r="F607" s="214"/>
      <c r="G607" s="214"/>
    </row>
    <row r="608" spans="1:7" s="251" customFormat="1">
      <c r="A608" s="250"/>
      <c r="B608" s="213"/>
      <c r="C608" s="214"/>
      <c r="D608" s="214"/>
      <c r="E608" s="214"/>
      <c r="F608" s="214"/>
      <c r="G608" s="214"/>
    </row>
    <row r="609" spans="1:7" s="251" customFormat="1">
      <c r="A609" s="250"/>
      <c r="B609" s="213"/>
      <c r="C609" s="214"/>
      <c r="D609" s="214"/>
      <c r="E609" s="214"/>
      <c r="F609" s="214"/>
      <c r="G609" s="214"/>
    </row>
    <row r="610" spans="1:7" s="251" customFormat="1">
      <c r="A610" s="250"/>
      <c r="B610" s="213"/>
      <c r="C610" s="214"/>
      <c r="D610" s="214"/>
      <c r="E610" s="214"/>
      <c r="F610" s="214"/>
      <c r="G610" s="214"/>
    </row>
    <row r="611" spans="1:7" s="251" customFormat="1">
      <c r="A611" s="250"/>
      <c r="B611" s="213"/>
      <c r="C611" s="214"/>
      <c r="D611" s="214"/>
      <c r="E611" s="214"/>
      <c r="F611" s="214"/>
      <c r="G611" s="214"/>
    </row>
    <row r="612" spans="1:7" s="251" customFormat="1">
      <c r="A612" s="250"/>
      <c r="B612" s="213"/>
      <c r="C612" s="214"/>
      <c r="D612" s="214"/>
      <c r="E612" s="214"/>
      <c r="F612" s="214"/>
      <c r="G612" s="214"/>
    </row>
    <row r="613" spans="1:7" s="251" customFormat="1">
      <c r="A613" s="250"/>
      <c r="B613" s="213"/>
      <c r="C613" s="214"/>
      <c r="D613" s="214"/>
      <c r="E613" s="214"/>
      <c r="F613" s="214"/>
      <c r="G613" s="214"/>
    </row>
    <row r="614" spans="1:7" s="251" customFormat="1">
      <c r="A614" s="250"/>
      <c r="B614" s="213"/>
      <c r="C614" s="214"/>
      <c r="D614" s="214"/>
      <c r="E614" s="214"/>
      <c r="F614" s="214"/>
      <c r="G614" s="214"/>
    </row>
    <row r="615" spans="1:7" s="251" customFormat="1">
      <c r="A615" s="250"/>
      <c r="B615" s="213"/>
      <c r="C615" s="214"/>
      <c r="D615" s="214"/>
      <c r="E615" s="214"/>
      <c r="F615" s="214"/>
      <c r="G615" s="214"/>
    </row>
    <row r="616" spans="1:7" s="251" customFormat="1">
      <c r="A616" s="250"/>
      <c r="B616" s="213"/>
      <c r="C616" s="214"/>
      <c r="D616" s="214"/>
      <c r="E616" s="214"/>
      <c r="F616" s="214"/>
      <c r="G616" s="214"/>
    </row>
    <row r="617" spans="1:7" s="251" customFormat="1">
      <c r="A617" s="250"/>
      <c r="B617" s="213"/>
      <c r="C617" s="214"/>
      <c r="D617" s="214"/>
      <c r="E617" s="214"/>
      <c r="F617" s="214"/>
      <c r="G617" s="214"/>
    </row>
    <row r="618" spans="1:7" s="251" customFormat="1">
      <c r="A618" s="250"/>
      <c r="B618" s="213"/>
      <c r="C618" s="214"/>
      <c r="D618" s="214"/>
      <c r="E618" s="214"/>
      <c r="F618" s="214"/>
      <c r="G618" s="214"/>
    </row>
    <row r="619" spans="1:7" s="251" customFormat="1">
      <c r="A619" s="250"/>
      <c r="B619" s="213"/>
      <c r="C619" s="214"/>
      <c r="D619" s="214"/>
      <c r="E619" s="214"/>
      <c r="F619" s="214"/>
      <c r="G619" s="214"/>
    </row>
    <row r="620" spans="1:7" s="251" customFormat="1">
      <c r="A620" s="250"/>
      <c r="B620" s="213"/>
      <c r="C620" s="214"/>
      <c r="D620" s="214"/>
      <c r="E620" s="214"/>
      <c r="F620" s="214"/>
      <c r="G620" s="214"/>
    </row>
    <row r="621" spans="1:7" s="251" customFormat="1">
      <c r="A621" s="250"/>
      <c r="B621" s="213"/>
      <c r="C621" s="214"/>
      <c r="D621" s="214"/>
      <c r="E621" s="214"/>
      <c r="F621" s="214"/>
      <c r="G621" s="214"/>
    </row>
    <row r="622" spans="1:7" s="251" customFormat="1">
      <c r="A622" s="250"/>
      <c r="B622" s="213"/>
      <c r="C622" s="214"/>
      <c r="D622" s="214"/>
      <c r="E622" s="214"/>
      <c r="F622" s="214"/>
      <c r="G622" s="214"/>
    </row>
    <row r="623" spans="1:7" s="251" customFormat="1">
      <c r="A623" s="250"/>
      <c r="B623" s="213"/>
      <c r="C623" s="214"/>
      <c r="D623" s="214"/>
      <c r="E623" s="214"/>
      <c r="F623" s="214"/>
      <c r="G623" s="214"/>
    </row>
    <row r="624" spans="1:7" s="251" customFormat="1">
      <c r="A624" s="250"/>
      <c r="B624" s="213"/>
      <c r="C624" s="214"/>
      <c r="D624" s="214"/>
      <c r="E624" s="214"/>
      <c r="F624" s="214"/>
      <c r="G624" s="214"/>
    </row>
    <row r="625" spans="1:7" s="251" customFormat="1">
      <c r="A625" s="250"/>
      <c r="B625" s="213"/>
      <c r="C625" s="214"/>
      <c r="D625" s="214"/>
      <c r="E625" s="214"/>
      <c r="F625" s="214"/>
      <c r="G625" s="214"/>
    </row>
    <row r="626" spans="1:7" s="251" customFormat="1">
      <c r="A626" s="250"/>
      <c r="B626" s="213"/>
      <c r="C626" s="214"/>
      <c r="D626" s="214"/>
      <c r="E626" s="214"/>
      <c r="F626" s="214"/>
      <c r="G626" s="214"/>
    </row>
    <row r="627" spans="1:7" s="251" customFormat="1">
      <c r="A627" s="250"/>
      <c r="B627" s="213"/>
      <c r="C627" s="214"/>
      <c r="D627" s="214"/>
      <c r="E627" s="214"/>
      <c r="F627" s="214"/>
      <c r="G627" s="214"/>
    </row>
    <row r="628" spans="1:7" s="251" customFormat="1">
      <c r="A628" s="250"/>
      <c r="B628" s="213"/>
      <c r="C628" s="214"/>
      <c r="D628" s="214"/>
      <c r="E628" s="214"/>
      <c r="F628" s="214"/>
      <c r="G628" s="214"/>
    </row>
    <row r="629" spans="1:7" s="251" customFormat="1">
      <c r="A629" s="250"/>
      <c r="B629" s="213"/>
      <c r="C629" s="214"/>
      <c r="D629" s="214"/>
      <c r="E629" s="214"/>
      <c r="F629" s="214"/>
      <c r="G629" s="214"/>
    </row>
    <row r="630" spans="1:7" s="251" customFormat="1">
      <c r="A630" s="250"/>
      <c r="B630" s="213"/>
      <c r="C630" s="214"/>
      <c r="D630" s="214"/>
      <c r="E630" s="214"/>
      <c r="F630" s="214"/>
      <c r="G630" s="214"/>
    </row>
    <row r="631" spans="1:7" s="251" customFormat="1">
      <c r="A631" s="250"/>
      <c r="B631" s="213"/>
      <c r="C631" s="214"/>
      <c r="D631" s="214"/>
      <c r="E631" s="214"/>
      <c r="F631" s="214"/>
      <c r="G631" s="214"/>
    </row>
    <row r="632" spans="1:7" s="251" customFormat="1">
      <c r="A632" s="250"/>
      <c r="B632" s="213"/>
      <c r="C632" s="214"/>
      <c r="D632" s="214"/>
      <c r="E632" s="214"/>
      <c r="F632" s="214"/>
      <c r="G632" s="214"/>
    </row>
    <row r="633" spans="1:7" s="251" customFormat="1">
      <c r="A633" s="250"/>
      <c r="B633" s="213"/>
      <c r="C633" s="214"/>
      <c r="D633" s="214"/>
      <c r="E633" s="214"/>
      <c r="F633" s="214"/>
      <c r="G633" s="214"/>
    </row>
    <row r="634" spans="1:7" s="251" customFormat="1">
      <c r="A634" s="250"/>
      <c r="B634" s="213"/>
      <c r="C634" s="214"/>
      <c r="D634" s="214"/>
      <c r="E634" s="214"/>
      <c r="F634" s="214"/>
      <c r="G634" s="214"/>
    </row>
    <row r="635" spans="1:7" s="251" customFormat="1">
      <c r="A635" s="250"/>
      <c r="B635" s="213"/>
      <c r="C635" s="214"/>
      <c r="D635" s="214"/>
      <c r="E635" s="214"/>
      <c r="F635" s="214"/>
      <c r="G635" s="214"/>
    </row>
    <row r="636" spans="1:7" s="251" customFormat="1">
      <c r="A636" s="250"/>
      <c r="B636" s="213"/>
      <c r="C636" s="214"/>
      <c r="D636" s="214"/>
      <c r="E636" s="214"/>
      <c r="F636" s="214"/>
      <c r="G636" s="214"/>
    </row>
    <row r="637" spans="1:7" s="251" customFormat="1">
      <c r="A637" s="250"/>
      <c r="B637" s="213"/>
      <c r="C637" s="214"/>
      <c r="D637" s="214"/>
      <c r="E637" s="214"/>
      <c r="F637" s="214"/>
      <c r="G637" s="214"/>
    </row>
    <row r="638" spans="1:7" s="251" customFormat="1">
      <c r="A638" s="250"/>
      <c r="B638" s="213"/>
      <c r="C638" s="214"/>
      <c r="D638" s="214"/>
      <c r="E638" s="214"/>
      <c r="F638" s="214"/>
      <c r="G638" s="214"/>
    </row>
    <row r="639" spans="1:7" s="251" customFormat="1">
      <c r="A639" s="250"/>
      <c r="B639" s="213"/>
      <c r="C639" s="214"/>
      <c r="D639" s="214"/>
      <c r="E639" s="214"/>
      <c r="F639" s="214"/>
      <c r="G639" s="214"/>
    </row>
    <row r="640" spans="1:7" s="251" customFormat="1">
      <c r="A640" s="250"/>
      <c r="B640" s="213"/>
      <c r="C640" s="214"/>
      <c r="D640" s="214"/>
      <c r="E640" s="214"/>
      <c r="F640" s="214"/>
      <c r="G640" s="214"/>
    </row>
    <row r="641" spans="1:7" s="251" customFormat="1">
      <c r="A641" s="250"/>
      <c r="B641" s="213"/>
      <c r="C641" s="214"/>
      <c r="D641" s="214"/>
      <c r="E641" s="214"/>
      <c r="F641" s="214"/>
      <c r="G641" s="214"/>
    </row>
    <row r="642" spans="1:7" s="251" customFormat="1">
      <c r="A642" s="250"/>
      <c r="B642" s="213"/>
      <c r="C642" s="214"/>
      <c r="D642" s="214"/>
      <c r="E642" s="214"/>
      <c r="F642" s="214"/>
      <c r="G642" s="214"/>
    </row>
    <row r="643" spans="1:7" s="251" customFormat="1">
      <c r="A643" s="250"/>
      <c r="B643" s="213"/>
      <c r="C643" s="214"/>
      <c r="D643" s="214"/>
      <c r="E643" s="214"/>
      <c r="F643" s="214"/>
      <c r="G643" s="214"/>
    </row>
    <row r="644" spans="1:7" s="251" customFormat="1">
      <c r="A644" s="250"/>
      <c r="B644" s="213"/>
      <c r="C644" s="214"/>
      <c r="D644" s="214"/>
      <c r="E644" s="214"/>
      <c r="F644" s="214"/>
      <c r="G644" s="214"/>
    </row>
    <row r="645" spans="1:7" s="251" customFormat="1">
      <c r="A645" s="250"/>
      <c r="B645" s="213"/>
      <c r="C645" s="214"/>
      <c r="D645" s="214"/>
      <c r="E645" s="214"/>
      <c r="F645" s="214"/>
      <c r="G645" s="214"/>
    </row>
    <row r="646" spans="1:7" s="251" customFormat="1">
      <c r="A646" s="250"/>
      <c r="B646" s="213"/>
      <c r="C646" s="214"/>
      <c r="D646" s="214"/>
      <c r="E646" s="214"/>
      <c r="F646" s="214"/>
      <c r="G646" s="214"/>
    </row>
    <row r="647" spans="1:7" s="251" customFormat="1">
      <c r="A647" s="250"/>
      <c r="B647" s="213"/>
      <c r="C647" s="214"/>
      <c r="D647" s="214"/>
      <c r="E647" s="214"/>
      <c r="F647" s="214"/>
      <c r="G647" s="214"/>
    </row>
    <row r="648" spans="1:7" s="251" customFormat="1">
      <c r="A648" s="250"/>
      <c r="B648" s="213"/>
      <c r="C648" s="214"/>
      <c r="D648" s="214"/>
      <c r="E648" s="214"/>
      <c r="F648" s="214"/>
      <c r="G648" s="214"/>
    </row>
    <row r="649" spans="1:7" s="251" customFormat="1">
      <c r="A649" s="250"/>
      <c r="B649" s="213"/>
      <c r="C649" s="214"/>
      <c r="D649" s="214"/>
      <c r="E649" s="214"/>
      <c r="F649" s="214"/>
      <c r="G649" s="214"/>
    </row>
    <row r="650" spans="1:7" s="251" customFormat="1">
      <c r="A650" s="250"/>
      <c r="B650" s="213"/>
      <c r="C650" s="214"/>
      <c r="D650" s="214"/>
      <c r="E650" s="214"/>
      <c r="F650" s="214"/>
      <c r="G650" s="214"/>
    </row>
    <row r="651" spans="1:7" s="251" customFormat="1">
      <c r="A651" s="250"/>
      <c r="B651" s="213"/>
      <c r="C651" s="214"/>
      <c r="D651" s="214"/>
      <c r="E651" s="214"/>
      <c r="F651" s="214"/>
      <c r="G651" s="214"/>
    </row>
    <row r="652" spans="1:7" s="251" customFormat="1">
      <c r="A652" s="250"/>
      <c r="B652" s="213"/>
      <c r="C652" s="214"/>
      <c r="D652" s="214"/>
      <c r="E652" s="214"/>
      <c r="F652" s="214"/>
      <c r="G652" s="214"/>
    </row>
    <row r="653" spans="1:7" s="251" customFormat="1">
      <c r="A653" s="250"/>
      <c r="B653" s="213"/>
      <c r="C653" s="214"/>
      <c r="D653" s="214"/>
      <c r="E653" s="214"/>
      <c r="F653" s="214"/>
      <c r="G653" s="214"/>
    </row>
    <row r="654" spans="1:7" s="251" customFormat="1">
      <c r="A654" s="250"/>
      <c r="B654" s="213"/>
      <c r="C654" s="214"/>
      <c r="D654" s="214"/>
      <c r="E654" s="214"/>
      <c r="F654" s="214"/>
      <c r="G654" s="214"/>
    </row>
    <row r="655" spans="1:7" s="251" customFormat="1">
      <c r="A655" s="250"/>
      <c r="B655" s="213"/>
      <c r="C655" s="214"/>
      <c r="D655" s="214"/>
      <c r="E655" s="214"/>
      <c r="F655" s="214"/>
      <c r="G655" s="214"/>
    </row>
    <row r="656" spans="1:7" s="251" customFormat="1">
      <c r="A656" s="250"/>
      <c r="B656" s="213"/>
      <c r="C656" s="214"/>
      <c r="D656" s="214"/>
      <c r="E656" s="214"/>
      <c r="F656" s="214"/>
      <c r="G656" s="214"/>
    </row>
    <row r="657" spans="1:7" s="251" customFormat="1">
      <c r="A657" s="250"/>
      <c r="B657" s="213"/>
      <c r="C657" s="214"/>
      <c r="D657" s="214"/>
      <c r="E657" s="214"/>
      <c r="F657" s="214"/>
      <c r="G657" s="214"/>
    </row>
    <row r="658" spans="1:7" s="251" customFormat="1">
      <c r="A658" s="250"/>
      <c r="B658" s="213"/>
      <c r="C658" s="214"/>
      <c r="D658" s="214"/>
      <c r="E658" s="214"/>
      <c r="F658" s="214"/>
      <c r="G658" s="214"/>
    </row>
    <row r="659" spans="1:7" s="251" customFormat="1">
      <c r="A659" s="250"/>
      <c r="B659" s="213"/>
      <c r="C659" s="214"/>
      <c r="D659" s="214"/>
      <c r="E659" s="214"/>
      <c r="F659" s="214"/>
      <c r="G659" s="214"/>
    </row>
    <row r="660" spans="1:7" s="251" customFormat="1">
      <c r="A660" s="250"/>
      <c r="B660" s="213"/>
      <c r="C660" s="214"/>
      <c r="D660" s="214"/>
      <c r="E660" s="214"/>
      <c r="F660" s="214"/>
      <c r="G660" s="214"/>
    </row>
    <row r="661" spans="1:7" s="251" customFormat="1">
      <c r="A661" s="250"/>
      <c r="B661" s="213"/>
      <c r="C661" s="214"/>
      <c r="D661" s="214"/>
      <c r="E661" s="214"/>
      <c r="F661" s="214"/>
      <c r="G661" s="214"/>
    </row>
    <row r="662" spans="1:7" s="251" customFormat="1">
      <c r="A662" s="250"/>
      <c r="B662" s="213"/>
      <c r="C662" s="214"/>
      <c r="D662" s="214"/>
      <c r="E662" s="214"/>
      <c r="F662" s="214"/>
      <c r="G662" s="214"/>
    </row>
    <row r="663" spans="1:7" s="251" customFormat="1">
      <c r="A663" s="250"/>
      <c r="B663" s="213"/>
      <c r="C663" s="214"/>
      <c r="D663" s="214"/>
      <c r="E663" s="214"/>
      <c r="F663" s="214"/>
      <c r="G663" s="214"/>
    </row>
    <row r="664" spans="1:7" s="251" customFormat="1">
      <c r="A664" s="250"/>
      <c r="B664" s="213"/>
      <c r="C664" s="214"/>
      <c r="D664" s="214"/>
      <c r="E664" s="214"/>
      <c r="F664" s="214"/>
      <c r="G664" s="214"/>
    </row>
    <row r="665" spans="1:7" s="251" customFormat="1">
      <c r="A665" s="250"/>
      <c r="B665" s="213"/>
      <c r="C665" s="214"/>
      <c r="D665" s="214"/>
      <c r="E665" s="214"/>
      <c r="F665" s="214"/>
      <c r="G665" s="214"/>
    </row>
    <row r="666" spans="1:7" s="251" customFormat="1">
      <c r="A666" s="250"/>
      <c r="B666" s="213"/>
      <c r="C666" s="214"/>
      <c r="D666" s="214"/>
      <c r="E666" s="214"/>
      <c r="F666" s="214"/>
      <c r="G666" s="214"/>
    </row>
    <row r="667" spans="1:7" s="251" customFormat="1">
      <c r="A667" s="250"/>
      <c r="B667" s="213"/>
      <c r="C667" s="214"/>
      <c r="D667" s="214"/>
      <c r="E667" s="214"/>
      <c r="F667" s="214"/>
      <c r="G667" s="214"/>
    </row>
    <row r="668" spans="1:7" s="251" customFormat="1">
      <c r="A668" s="250"/>
      <c r="B668" s="213"/>
      <c r="C668" s="214"/>
      <c r="D668" s="214"/>
      <c r="E668" s="214"/>
      <c r="F668" s="214"/>
      <c r="G668" s="214"/>
    </row>
    <row r="669" spans="1:7" s="251" customFormat="1">
      <c r="A669" s="250"/>
      <c r="B669" s="213"/>
      <c r="C669" s="214"/>
      <c r="D669" s="214"/>
      <c r="E669" s="214"/>
      <c r="F669" s="214"/>
      <c r="G669" s="214"/>
    </row>
    <row r="670" spans="1:7" s="251" customFormat="1">
      <c r="A670" s="250"/>
      <c r="B670" s="213"/>
      <c r="C670" s="214"/>
      <c r="D670" s="214"/>
      <c r="E670" s="214"/>
      <c r="F670" s="214"/>
      <c r="G670" s="214"/>
    </row>
    <row r="671" spans="1:7" s="251" customFormat="1">
      <c r="A671" s="250"/>
      <c r="B671" s="213"/>
      <c r="C671" s="214"/>
      <c r="D671" s="214"/>
      <c r="E671" s="214"/>
      <c r="F671" s="214"/>
      <c r="G671" s="214"/>
    </row>
    <row r="672" spans="1:7" s="251" customFormat="1">
      <c r="A672" s="250"/>
      <c r="B672" s="213"/>
      <c r="C672" s="214"/>
      <c r="D672" s="214"/>
      <c r="E672" s="214"/>
      <c r="F672" s="214"/>
      <c r="G672" s="214"/>
    </row>
    <row r="673" spans="1:7" s="251" customFormat="1">
      <c r="A673" s="250"/>
      <c r="B673" s="213"/>
      <c r="C673" s="214"/>
      <c r="D673" s="214"/>
      <c r="E673" s="214"/>
      <c r="F673" s="214"/>
      <c r="G673" s="214"/>
    </row>
    <row r="674" spans="1:7" s="251" customFormat="1">
      <c r="A674" s="250"/>
      <c r="B674" s="213"/>
      <c r="C674" s="214"/>
      <c r="D674" s="214"/>
      <c r="E674" s="214"/>
      <c r="F674" s="214"/>
      <c r="G674" s="214"/>
    </row>
    <row r="675" spans="1:7" s="251" customFormat="1">
      <c r="A675" s="250"/>
      <c r="B675" s="213"/>
      <c r="C675" s="214"/>
      <c r="D675" s="214"/>
      <c r="E675" s="214"/>
      <c r="F675" s="214"/>
      <c r="G675" s="214"/>
    </row>
    <row r="676" spans="1:7" s="251" customFormat="1">
      <c r="A676" s="250"/>
      <c r="B676" s="213"/>
      <c r="C676" s="214"/>
      <c r="D676" s="214"/>
      <c r="E676" s="214"/>
      <c r="F676" s="214"/>
      <c r="G676" s="214"/>
    </row>
    <row r="677" spans="1:7" s="251" customFormat="1">
      <c r="A677" s="250"/>
      <c r="B677" s="213"/>
      <c r="C677" s="214"/>
      <c r="D677" s="214"/>
      <c r="E677" s="214"/>
      <c r="F677" s="214"/>
      <c r="G677" s="214"/>
    </row>
    <row r="678" spans="1:7" s="251" customFormat="1">
      <c r="A678" s="250"/>
      <c r="B678" s="213"/>
      <c r="C678" s="214"/>
      <c r="D678" s="214"/>
      <c r="E678" s="214"/>
      <c r="F678" s="214"/>
      <c r="G678" s="214"/>
    </row>
    <row r="679" spans="1:7" s="251" customFormat="1">
      <c r="A679" s="250"/>
      <c r="B679" s="213"/>
      <c r="C679" s="214"/>
      <c r="D679" s="214"/>
      <c r="E679" s="214"/>
      <c r="F679" s="214"/>
      <c r="G679" s="214"/>
    </row>
    <row r="680" spans="1:7" s="251" customFormat="1">
      <c r="A680" s="250"/>
      <c r="B680" s="213"/>
      <c r="C680" s="214"/>
      <c r="D680" s="214"/>
      <c r="E680" s="214"/>
      <c r="F680" s="214"/>
      <c r="G680" s="214"/>
    </row>
    <row r="681" spans="1:7" s="251" customFormat="1">
      <c r="A681" s="250"/>
      <c r="B681" s="213"/>
      <c r="C681" s="214"/>
      <c r="D681" s="214"/>
      <c r="E681" s="214"/>
      <c r="F681" s="214"/>
      <c r="G681" s="214"/>
    </row>
    <row r="682" spans="1:7" s="251" customFormat="1">
      <c r="A682" s="250"/>
      <c r="B682" s="213"/>
      <c r="C682" s="214"/>
      <c r="D682" s="214"/>
      <c r="E682" s="214"/>
      <c r="F682" s="214"/>
      <c r="G682" s="214"/>
    </row>
    <row r="683" spans="1:7" s="251" customFormat="1">
      <c r="A683" s="250"/>
      <c r="B683" s="213"/>
      <c r="C683" s="214"/>
      <c r="D683" s="214"/>
      <c r="E683" s="214"/>
      <c r="F683" s="214"/>
      <c r="G683" s="214"/>
    </row>
    <row r="684" spans="1:7" s="251" customFormat="1">
      <c r="A684" s="250"/>
      <c r="B684" s="213"/>
      <c r="C684" s="214"/>
      <c r="D684" s="214"/>
      <c r="E684" s="214"/>
      <c r="F684" s="214"/>
      <c r="G684" s="214"/>
    </row>
    <row r="685" spans="1:7" s="251" customFormat="1">
      <c r="A685" s="250"/>
      <c r="B685" s="213"/>
      <c r="C685" s="214"/>
      <c r="D685" s="214"/>
      <c r="E685" s="214"/>
      <c r="F685" s="214"/>
      <c r="G685" s="214"/>
    </row>
    <row r="686" spans="1:7" s="251" customFormat="1">
      <c r="A686" s="250"/>
      <c r="B686" s="213"/>
      <c r="C686" s="214"/>
      <c r="D686" s="214"/>
      <c r="E686" s="214"/>
      <c r="F686" s="214"/>
      <c r="G686" s="214"/>
    </row>
    <row r="687" spans="1:7" s="251" customFormat="1">
      <c r="A687" s="250"/>
      <c r="B687" s="213"/>
      <c r="C687" s="214"/>
      <c r="D687" s="214"/>
      <c r="E687" s="214"/>
      <c r="F687" s="214"/>
      <c r="G687" s="214"/>
    </row>
    <row r="688" spans="1:7" s="251" customFormat="1">
      <c r="A688" s="250"/>
      <c r="B688" s="213"/>
      <c r="C688" s="214"/>
      <c r="D688" s="214"/>
      <c r="E688" s="214"/>
      <c r="F688" s="214"/>
      <c r="G688" s="214"/>
    </row>
    <row r="689" spans="1:7" s="251" customFormat="1">
      <c r="A689" s="250"/>
      <c r="B689" s="213"/>
      <c r="C689" s="214"/>
      <c r="D689" s="214"/>
      <c r="E689" s="214"/>
      <c r="F689" s="214"/>
      <c r="G689" s="214"/>
    </row>
    <row r="690" spans="1:7" s="251" customFormat="1">
      <c r="A690" s="250"/>
      <c r="B690" s="213"/>
      <c r="C690" s="214"/>
      <c r="D690" s="214"/>
      <c r="E690" s="214"/>
      <c r="F690" s="214"/>
      <c r="G690" s="214"/>
    </row>
    <row r="691" spans="1:7" s="251" customFormat="1">
      <c r="A691" s="250"/>
      <c r="B691" s="213"/>
      <c r="C691" s="214"/>
      <c r="D691" s="214"/>
      <c r="E691" s="214"/>
      <c r="F691" s="214"/>
      <c r="G691" s="214"/>
    </row>
    <row r="692" spans="1:7" s="251" customFormat="1">
      <c r="A692" s="250"/>
      <c r="B692" s="213"/>
      <c r="C692" s="214"/>
      <c r="D692" s="214"/>
      <c r="E692" s="214"/>
      <c r="F692" s="214"/>
      <c r="G692" s="214"/>
    </row>
    <row r="693" spans="1:7" s="251" customFormat="1">
      <c r="A693" s="250"/>
      <c r="B693" s="213"/>
      <c r="C693" s="214"/>
      <c r="D693" s="214"/>
      <c r="E693" s="214"/>
      <c r="F693" s="214"/>
      <c r="G693" s="214"/>
    </row>
    <row r="694" spans="1:7" s="251" customFormat="1">
      <c r="A694" s="250"/>
      <c r="B694" s="213"/>
      <c r="C694" s="214"/>
      <c r="D694" s="214"/>
      <c r="E694" s="214"/>
      <c r="F694" s="214"/>
      <c r="G694" s="214"/>
    </row>
    <row r="695" spans="1:7" s="251" customFormat="1">
      <c r="A695" s="250"/>
      <c r="B695" s="213"/>
      <c r="C695" s="214"/>
      <c r="D695" s="214"/>
      <c r="E695" s="214"/>
      <c r="F695" s="214"/>
      <c r="G695" s="214"/>
    </row>
    <row r="696" spans="1:7" s="251" customFormat="1">
      <c r="A696" s="250"/>
      <c r="B696" s="213"/>
      <c r="C696" s="214"/>
      <c r="D696" s="214"/>
      <c r="E696" s="214"/>
      <c r="F696" s="214"/>
      <c r="G696" s="214"/>
    </row>
    <row r="697" spans="1:7" s="251" customFormat="1">
      <c r="A697" s="250"/>
      <c r="B697" s="213"/>
      <c r="C697" s="214"/>
      <c r="D697" s="214"/>
      <c r="E697" s="214"/>
      <c r="F697" s="214"/>
      <c r="G697" s="214"/>
    </row>
    <row r="698" spans="1:7" s="251" customFormat="1">
      <c r="A698" s="250"/>
      <c r="B698" s="213"/>
      <c r="C698" s="214"/>
      <c r="D698" s="214"/>
      <c r="E698" s="214"/>
      <c r="F698" s="214"/>
      <c r="G698" s="214"/>
    </row>
    <row r="699" spans="1:7" s="251" customFormat="1">
      <c r="A699" s="250"/>
      <c r="B699" s="213"/>
      <c r="C699" s="214"/>
      <c r="D699" s="214"/>
      <c r="E699" s="214"/>
      <c r="F699" s="214"/>
      <c r="G699" s="214"/>
    </row>
    <row r="700" spans="1:7" s="251" customFormat="1">
      <c r="A700" s="250"/>
      <c r="B700" s="213"/>
      <c r="C700" s="214"/>
      <c r="D700" s="214"/>
      <c r="E700" s="214"/>
      <c r="F700" s="214"/>
      <c r="G700" s="214"/>
    </row>
    <row r="701" spans="1:7" s="251" customFormat="1">
      <c r="A701" s="250"/>
      <c r="B701" s="213"/>
      <c r="C701" s="214"/>
      <c r="D701" s="214"/>
      <c r="E701" s="214"/>
      <c r="F701" s="214"/>
      <c r="G701" s="214"/>
    </row>
    <row r="702" spans="1:7" s="251" customFormat="1">
      <c r="A702" s="250"/>
      <c r="B702" s="213"/>
      <c r="C702" s="214"/>
      <c r="D702" s="214"/>
      <c r="E702" s="214"/>
      <c r="F702" s="214"/>
      <c r="G702" s="214"/>
    </row>
    <row r="703" spans="1:7" s="251" customFormat="1">
      <c r="A703" s="250"/>
      <c r="B703" s="213"/>
      <c r="C703" s="214"/>
      <c r="D703" s="214"/>
      <c r="E703" s="214"/>
      <c r="F703" s="214"/>
      <c r="G703" s="214"/>
    </row>
    <row r="704" spans="1:7" s="251" customFormat="1">
      <c r="A704" s="250"/>
      <c r="B704" s="213"/>
      <c r="C704" s="214"/>
      <c r="D704" s="214"/>
      <c r="E704" s="214"/>
      <c r="F704" s="214"/>
      <c r="G704" s="214"/>
    </row>
    <row r="705" spans="1:7" s="251" customFormat="1">
      <c r="A705" s="250"/>
      <c r="B705" s="213"/>
      <c r="C705" s="214"/>
      <c r="D705" s="214"/>
      <c r="E705" s="214"/>
      <c r="F705" s="214"/>
      <c r="G705" s="214"/>
    </row>
    <row r="706" spans="1:7" s="251" customFormat="1">
      <c r="A706" s="250"/>
      <c r="B706" s="213"/>
      <c r="C706" s="214"/>
      <c r="D706" s="214"/>
      <c r="E706" s="214"/>
      <c r="F706" s="214"/>
      <c r="G706" s="214"/>
    </row>
    <row r="707" spans="1:7" s="251" customFormat="1">
      <c r="A707" s="250"/>
      <c r="B707" s="213"/>
      <c r="C707" s="214"/>
      <c r="D707" s="214"/>
      <c r="E707" s="214"/>
      <c r="F707" s="214"/>
      <c r="G707" s="214"/>
    </row>
    <row r="708" spans="1:7" s="251" customFormat="1">
      <c r="A708" s="250"/>
      <c r="B708" s="213"/>
      <c r="C708" s="214"/>
      <c r="D708" s="214"/>
      <c r="E708" s="214"/>
      <c r="F708" s="214"/>
      <c r="G708" s="214"/>
    </row>
    <row r="709" spans="1:7" s="251" customFormat="1">
      <c r="A709" s="250"/>
      <c r="B709" s="213"/>
      <c r="C709" s="214"/>
      <c r="D709" s="214"/>
      <c r="E709" s="214"/>
      <c r="F709" s="214"/>
      <c r="G709" s="214"/>
    </row>
    <row r="710" spans="1:7" s="251" customFormat="1">
      <c r="A710" s="250"/>
      <c r="B710" s="213"/>
      <c r="C710" s="214"/>
      <c r="D710" s="214"/>
      <c r="E710" s="214"/>
      <c r="F710" s="214"/>
      <c r="G710" s="214"/>
    </row>
    <row r="711" spans="1:7" s="251" customFormat="1">
      <c r="A711" s="250"/>
      <c r="B711" s="213"/>
      <c r="C711" s="214"/>
      <c r="D711" s="214"/>
      <c r="E711" s="214"/>
      <c r="F711" s="214"/>
      <c r="G711" s="214"/>
    </row>
    <row r="712" spans="1:7" s="251" customFormat="1">
      <c r="A712" s="250"/>
      <c r="B712" s="213"/>
      <c r="C712" s="214"/>
      <c r="D712" s="214"/>
      <c r="E712" s="214"/>
      <c r="F712" s="214"/>
      <c r="G712" s="214"/>
    </row>
    <row r="713" spans="1:7" s="251" customFormat="1">
      <c r="A713" s="250"/>
      <c r="B713" s="213"/>
      <c r="C713" s="214"/>
      <c r="D713" s="214"/>
      <c r="E713" s="214"/>
      <c r="F713" s="214"/>
      <c r="G713" s="214"/>
    </row>
    <row r="714" spans="1:7" s="251" customFormat="1">
      <c r="A714" s="250"/>
      <c r="B714" s="213"/>
      <c r="C714" s="214"/>
      <c r="D714" s="214"/>
      <c r="E714" s="214"/>
      <c r="F714" s="214"/>
      <c r="G714" s="214"/>
    </row>
    <row r="715" spans="1:7" s="251" customFormat="1">
      <c r="A715" s="250"/>
      <c r="B715" s="213"/>
      <c r="C715" s="214"/>
      <c r="D715" s="214"/>
      <c r="E715" s="214"/>
      <c r="F715" s="214"/>
      <c r="G715" s="214"/>
    </row>
    <row r="716" spans="1:7" s="251" customFormat="1">
      <c r="A716" s="250"/>
      <c r="B716" s="213"/>
      <c r="C716" s="214"/>
      <c r="D716" s="214"/>
      <c r="E716" s="214"/>
      <c r="F716" s="214"/>
      <c r="G716" s="214"/>
    </row>
    <row r="717" spans="1:7" s="251" customFormat="1">
      <c r="A717" s="250"/>
      <c r="B717" s="213"/>
      <c r="C717" s="214"/>
      <c r="D717" s="214"/>
      <c r="E717" s="214"/>
      <c r="F717" s="214"/>
      <c r="G717" s="214"/>
    </row>
    <row r="718" spans="1:7" s="251" customFormat="1">
      <c r="A718" s="250"/>
      <c r="B718" s="213"/>
      <c r="C718" s="214"/>
      <c r="D718" s="214"/>
      <c r="E718" s="214"/>
      <c r="F718" s="214"/>
      <c r="G718" s="214"/>
    </row>
    <row r="719" spans="1:7" s="251" customFormat="1">
      <c r="A719" s="250"/>
      <c r="B719" s="213"/>
      <c r="C719" s="214"/>
      <c r="D719" s="214"/>
      <c r="E719" s="214"/>
      <c r="F719" s="214"/>
      <c r="G719" s="214"/>
    </row>
    <row r="720" spans="1:7" s="251" customFormat="1">
      <c r="A720" s="250"/>
      <c r="B720" s="213"/>
      <c r="C720" s="214"/>
      <c r="D720" s="214"/>
      <c r="E720" s="214"/>
      <c r="F720" s="214"/>
      <c r="G720" s="214"/>
    </row>
    <row r="721" spans="1:7" s="251" customFormat="1">
      <c r="A721" s="250"/>
      <c r="B721" s="213"/>
      <c r="C721" s="214"/>
      <c r="D721" s="214"/>
      <c r="E721" s="214"/>
      <c r="F721" s="214"/>
      <c r="G721" s="214"/>
    </row>
    <row r="722" spans="1:7" s="251" customFormat="1">
      <c r="A722" s="250"/>
      <c r="B722" s="213"/>
      <c r="C722" s="214"/>
      <c r="D722" s="214"/>
      <c r="E722" s="214"/>
      <c r="F722" s="214"/>
      <c r="G722" s="214"/>
    </row>
    <row r="723" spans="1:7" s="251" customFormat="1">
      <c r="A723" s="250"/>
      <c r="B723" s="213"/>
      <c r="C723" s="214"/>
      <c r="D723" s="214"/>
      <c r="E723" s="214"/>
      <c r="F723" s="214"/>
      <c r="G723" s="214"/>
    </row>
    <row r="724" spans="1:7" s="251" customFormat="1">
      <c r="A724" s="250"/>
      <c r="B724" s="213"/>
      <c r="C724" s="214"/>
      <c r="D724" s="214"/>
      <c r="E724" s="214"/>
      <c r="F724" s="214"/>
      <c r="G724" s="214"/>
    </row>
    <row r="725" spans="1:7" s="251" customFormat="1">
      <c r="A725" s="250"/>
      <c r="B725" s="213"/>
      <c r="C725" s="214"/>
      <c r="D725" s="214"/>
      <c r="E725" s="214"/>
      <c r="F725" s="214"/>
      <c r="G725" s="214"/>
    </row>
    <row r="726" spans="1:7" s="251" customFormat="1">
      <c r="A726" s="250"/>
      <c r="B726" s="213"/>
      <c r="C726" s="214"/>
      <c r="D726" s="214"/>
      <c r="E726" s="214"/>
      <c r="F726" s="214"/>
      <c r="G726" s="214"/>
    </row>
    <row r="727" spans="1:7" s="251" customFormat="1">
      <c r="A727" s="250"/>
      <c r="B727" s="213"/>
      <c r="C727" s="214"/>
      <c r="D727" s="214"/>
      <c r="E727" s="214"/>
      <c r="F727" s="214"/>
      <c r="G727" s="214"/>
    </row>
    <row r="728" spans="1:7" s="251" customFormat="1">
      <c r="A728" s="250"/>
      <c r="B728" s="213"/>
      <c r="C728" s="214"/>
      <c r="D728" s="214"/>
      <c r="E728" s="214"/>
      <c r="F728" s="214"/>
      <c r="G728" s="214"/>
    </row>
    <row r="729" spans="1:7" s="251" customFormat="1">
      <c r="A729" s="250"/>
      <c r="B729" s="213"/>
      <c r="C729" s="214"/>
      <c r="D729" s="214"/>
      <c r="E729" s="214"/>
      <c r="F729" s="214"/>
      <c r="G729" s="214"/>
    </row>
    <row r="730" spans="1:7" s="251" customFormat="1">
      <c r="A730" s="250"/>
      <c r="B730" s="213"/>
      <c r="C730" s="214"/>
      <c r="D730" s="214"/>
      <c r="E730" s="214"/>
      <c r="F730" s="214"/>
      <c r="G730" s="214"/>
    </row>
    <row r="731" spans="1:7" s="251" customFormat="1">
      <c r="A731" s="250"/>
      <c r="B731" s="213"/>
      <c r="C731" s="214"/>
      <c r="D731" s="214"/>
      <c r="E731" s="214"/>
      <c r="F731" s="214"/>
      <c r="G731" s="214"/>
    </row>
    <row r="732" spans="1:7" s="251" customFormat="1">
      <c r="A732" s="250"/>
      <c r="B732" s="213"/>
      <c r="C732" s="214"/>
      <c r="D732" s="214"/>
      <c r="E732" s="214"/>
      <c r="F732" s="214"/>
      <c r="G732" s="214"/>
    </row>
    <row r="733" spans="1:7" s="251" customFormat="1">
      <c r="A733" s="250"/>
      <c r="B733" s="213"/>
      <c r="C733" s="214"/>
      <c r="D733" s="214"/>
      <c r="E733" s="214"/>
      <c r="F733" s="214"/>
      <c r="G733" s="214"/>
    </row>
    <row r="734" spans="1:7" s="251" customFormat="1">
      <c r="A734" s="250"/>
      <c r="B734" s="213"/>
      <c r="C734" s="214"/>
      <c r="D734" s="214"/>
      <c r="E734" s="214"/>
      <c r="F734" s="214"/>
      <c r="G734" s="214"/>
    </row>
    <row r="735" spans="1:7" s="251" customFormat="1">
      <c r="A735" s="250"/>
      <c r="B735" s="213"/>
      <c r="C735" s="214"/>
      <c r="D735" s="214"/>
      <c r="E735" s="214"/>
      <c r="F735" s="214"/>
      <c r="G735" s="214"/>
    </row>
    <row r="736" spans="1:7" s="251" customFormat="1">
      <c r="A736" s="250"/>
      <c r="B736" s="213"/>
      <c r="C736" s="214"/>
      <c r="D736" s="214"/>
      <c r="E736" s="214"/>
      <c r="F736" s="214"/>
      <c r="G736" s="214"/>
    </row>
    <row r="737" spans="1:7" s="251" customFormat="1">
      <c r="A737" s="250"/>
      <c r="B737" s="213"/>
      <c r="C737" s="214"/>
      <c r="D737" s="214"/>
      <c r="E737" s="214"/>
      <c r="F737" s="214"/>
      <c r="G737" s="214"/>
    </row>
    <row r="738" spans="1:7" s="251" customFormat="1">
      <c r="A738" s="250"/>
      <c r="B738" s="213"/>
      <c r="C738" s="214"/>
      <c r="D738" s="214"/>
      <c r="E738" s="214"/>
      <c r="F738" s="214"/>
      <c r="G738" s="214"/>
    </row>
    <row r="739" spans="1:7" s="251" customFormat="1">
      <c r="A739" s="250"/>
      <c r="B739" s="213"/>
      <c r="C739" s="214"/>
      <c r="D739" s="214"/>
      <c r="E739" s="214"/>
      <c r="F739" s="214"/>
      <c r="G739" s="214"/>
    </row>
    <row r="740" spans="1:7" s="251" customFormat="1">
      <c r="A740" s="250"/>
      <c r="B740" s="213"/>
      <c r="C740" s="214"/>
      <c r="D740" s="214"/>
      <c r="E740" s="214"/>
      <c r="F740" s="214"/>
      <c r="G740" s="214"/>
    </row>
    <row r="741" spans="1:7" s="251" customFormat="1">
      <c r="A741" s="250"/>
      <c r="B741" s="213"/>
      <c r="C741" s="214"/>
      <c r="D741" s="214"/>
      <c r="E741" s="214"/>
      <c r="F741" s="214"/>
      <c r="G741" s="214"/>
    </row>
    <row r="742" spans="1:7" s="251" customFormat="1">
      <c r="A742" s="250"/>
      <c r="B742" s="213"/>
      <c r="C742" s="214"/>
      <c r="D742" s="214"/>
      <c r="E742" s="214"/>
      <c r="F742" s="214"/>
      <c r="G742" s="214"/>
    </row>
    <row r="743" spans="1:7" s="251" customFormat="1">
      <c r="A743" s="250"/>
      <c r="B743" s="213"/>
      <c r="C743" s="214"/>
      <c r="D743" s="214"/>
      <c r="E743" s="214"/>
      <c r="F743" s="214"/>
      <c r="G743" s="214"/>
    </row>
    <row r="744" spans="1:7" s="251" customFormat="1">
      <c r="A744" s="250"/>
      <c r="B744" s="213"/>
      <c r="C744" s="214"/>
      <c r="D744" s="214"/>
      <c r="E744" s="214"/>
      <c r="F744" s="214"/>
      <c r="G744" s="214"/>
    </row>
    <row r="745" spans="1:7" s="251" customFormat="1">
      <c r="A745" s="250"/>
      <c r="B745" s="213"/>
      <c r="C745" s="214"/>
      <c r="D745" s="214"/>
      <c r="E745" s="214"/>
      <c r="F745" s="214"/>
      <c r="G745" s="214"/>
    </row>
    <row r="746" spans="1:7" s="251" customFormat="1">
      <c r="A746" s="250"/>
      <c r="B746" s="213"/>
      <c r="C746" s="214"/>
      <c r="D746" s="214"/>
      <c r="E746" s="214"/>
      <c r="F746" s="214"/>
      <c r="G746" s="214"/>
    </row>
    <row r="747" spans="1:7" s="251" customFormat="1">
      <c r="A747" s="250"/>
      <c r="B747" s="213"/>
      <c r="C747" s="214"/>
      <c r="D747" s="214"/>
      <c r="E747" s="214"/>
      <c r="F747" s="214"/>
      <c r="G747" s="214"/>
    </row>
    <row r="748" spans="1:7" s="251" customFormat="1">
      <c r="A748" s="250"/>
      <c r="B748" s="213"/>
      <c r="C748" s="214"/>
      <c r="D748" s="214"/>
      <c r="E748" s="214"/>
      <c r="F748" s="214"/>
      <c r="G748" s="214"/>
    </row>
    <row r="749" spans="1:7" s="251" customFormat="1">
      <c r="A749" s="250"/>
      <c r="B749" s="213"/>
      <c r="C749" s="214"/>
      <c r="D749" s="214"/>
      <c r="E749" s="214"/>
      <c r="F749" s="214"/>
      <c r="G749" s="214"/>
    </row>
    <row r="750" spans="1:7" s="251" customFormat="1">
      <c r="A750" s="250"/>
      <c r="B750" s="213"/>
      <c r="C750" s="214"/>
      <c r="D750" s="214"/>
      <c r="E750" s="214"/>
      <c r="F750" s="214"/>
      <c r="G750" s="214"/>
    </row>
    <row r="751" spans="1:7" s="251" customFormat="1">
      <c r="A751" s="250"/>
      <c r="B751" s="213"/>
      <c r="C751" s="214"/>
      <c r="D751" s="214"/>
      <c r="E751" s="214"/>
      <c r="F751" s="214"/>
      <c r="G751" s="214"/>
    </row>
    <row r="752" spans="1:7" s="251" customFormat="1">
      <c r="A752" s="250"/>
      <c r="B752" s="213"/>
      <c r="C752" s="214"/>
      <c r="D752" s="214"/>
      <c r="E752" s="214"/>
      <c r="F752" s="214"/>
      <c r="G752" s="214"/>
    </row>
    <row r="753" spans="1:7" s="251" customFormat="1">
      <c r="A753" s="250"/>
      <c r="B753" s="213"/>
      <c r="C753" s="214"/>
      <c r="D753" s="214"/>
      <c r="E753" s="214"/>
      <c r="F753" s="214"/>
      <c r="G753" s="214"/>
    </row>
    <row r="754" spans="1:7" s="251" customFormat="1">
      <c r="A754" s="250"/>
      <c r="B754" s="213"/>
      <c r="C754" s="214"/>
      <c r="D754" s="214"/>
      <c r="E754" s="214"/>
      <c r="F754" s="214"/>
      <c r="G754" s="214"/>
    </row>
    <row r="755" spans="1:7" s="251" customFormat="1">
      <c r="A755" s="250"/>
      <c r="B755" s="213"/>
      <c r="C755" s="214"/>
      <c r="D755" s="214"/>
      <c r="E755" s="214"/>
      <c r="F755" s="214"/>
      <c r="G755" s="214"/>
    </row>
    <row r="756" spans="1:7" s="251" customFormat="1">
      <c r="A756" s="250"/>
      <c r="B756" s="213"/>
      <c r="C756" s="214"/>
      <c r="D756" s="214"/>
      <c r="E756" s="214"/>
      <c r="F756" s="214"/>
      <c r="G756" s="214"/>
    </row>
    <row r="757" spans="1:7" s="251" customFormat="1">
      <c r="A757" s="250"/>
      <c r="B757" s="213"/>
      <c r="C757" s="214"/>
      <c r="D757" s="214"/>
      <c r="E757" s="214"/>
      <c r="F757" s="214"/>
      <c r="G757" s="214"/>
    </row>
    <row r="758" spans="1:7" s="251" customFormat="1">
      <c r="A758" s="250"/>
      <c r="B758" s="213"/>
      <c r="C758" s="214"/>
      <c r="D758" s="214"/>
      <c r="E758" s="214"/>
      <c r="F758" s="214"/>
      <c r="G758" s="214"/>
    </row>
    <row r="759" spans="1:7" s="251" customFormat="1">
      <c r="A759" s="250"/>
      <c r="B759" s="213"/>
      <c r="C759" s="214"/>
      <c r="D759" s="214"/>
      <c r="E759" s="214"/>
      <c r="F759" s="214"/>
      <c r="G759" s="214"/>
    </row>
    <row r="760" spans="1:7" s="251" customFormat="1">
      <c r="A760" s="250"/>
      <c r="B760" s="213"/>
      <c r="C760" s="214"/>
      <c r="D760" s="214"/>
      <c r="E760" s="214"/>
      <c r="F760" s="214"/>
      <c r="G760" s="214"/>
    </row>
    <row r="761" spans="1:7" s="251" customFormat="1">
      <c r="A761" s="250"/>
      <c r="B761" s="213"/>
      <c r="C761" s="214"/>
      <c r="D761" s="214"/>
      <c r="E761" s="214"/>
      <c r="F761" s="214"/>
      <c r="G761" s="214"/>
    </row>
    <row r="762" spans="1:7" s="251" customFormat="1">
      <c r="A762" s="250"/>
      <c r="B762" s="213"/>
      <c r="C762" s="214"/>
      <c r="D762" s="214"/>
      <c r="E762" s="214"/>
      <c r="F762" s="214"/>
      <c r="G762" s="214"/>
    </row>
    <row r="763" spans="1:7" s="251" customFormat="1">
      <c r="A763" s="250"/>
      <c r="B763" s="213"/>
      <c r="C763" s="214"/>
      <c r="D763" s="214"/>
      <c r="E763" s="214"/>
      <c r="F763" s="214"/>
      <c r="G763" s="214"/>
    </row>
    <row r="764" spans="1:7" s="251" customFormat="1">
      <c r="A764" s="250"/>
      <c r="B764" s="213"/>
      <c r="C764" s="214"/>
      <c r="D764" s="214"/>
      <c r="E764" s="214"/>
      <c r="F764" s="214"/>
      <c r="G764" s="214"/>
    </row>
    <row r="765" spans="1:7" s="251" customFormat="1">
      <c r="A765" s="250"/>
      <c r="B765" s="213"/>
      <c r="C765" s="214"/>
      <c r="D765" s="214"/>
      <c r="E765" s="214"/>
      <c r="F765" s="214"/>
      <c r="G765" s="214"/>
    </row>
    <row r="766" spans="1:7" s="251" customFormat="1">
      <c r="A766" s="250"/>
      <c r="B766" s="213"/>
      <c r="C766" s="214"/>
      <c r="D766" s="214"/>
      <c r="E766" s="214"/>
      <c r="F766" s="214"/>
      <c r="G766" s="214"/>
    </row>
    <row r="767" spans="1:7" s="251" customFormat="1">
      <c r="A767" s="250"/>
      <c r="B767" s="213"/>
      <c r="C767" s="214"/>
      <c r="D767" s="214"/>
      <c r="E767" s="214"/>
      <c r="F767" s="214"/>
      <c r="G767" s="214"/>
    </row>
    <row r="768" spans="1:7" s="251" customFormat="1">
      <c r="A768" s="250"/>
      <c r="B768" s="213"/>
      <c r="C768" s="214"/>
      <c r="D768" s="214"/>
      <c r="E768" s="214"/>
      <c r="F768" s="214"/>
      <c r="G768" s="214"/>
    </row>
    <row r="769" spans="1:7" s="251" customFormat="1">
      <c r="A769" s="250"/>
      <c r="B769" s="213"/>
      <c r="C769" s="214"/>
      <c r="D769" s="214"/>
      <c r="E769" s="214"/>
      <c r="F769" s="214"/>
      <c r="G769" s="214"/>
    </row>
    <row r="770" spans="1:7" s="251" customFormat="1">
      <c r="A770" s="250"/>
      <c r="B770" s="213"/>
      <c r="C770" s="214"/>
      <c r="D770" s="214"/>
      <c r="E770" s="214"/>
      <c r="F770" s="214"/>
      <c r="G770" s="214"/>
    </row>
    <row r="771" spans="1:7" s="251" customFormat="1">
      <c r="A771" s="250"/>
      <c r="B771" s="213"/>
      <c r="C771" s="214"/>
      <c r="D771" s="214"/>
      <c r="E771" s="214"/>
      <c r="F771" s="214"/>
      <c r="G771" s="214"/>
    </row>
    <row r="772" spans="1:7" s="251" customFormat="1">
      <c r="A772" s="250"/>
      <c r="B772" s="213"/>
      <c r="C772" s="214"/>
      <c r="D772" s="214"/>
      <c r="E772" s="214"/>
      <c r="F772" s="214"/>
      <c r="G772" s="214"/>
    </row>
    <row r="773" spans="1:7" s="251" customFormat="1">
      <c r="A773" s="250"/>
      <c r="B773" s="213"/>
      <c r="C773" s="214"/>
      <c r="D773" s="214"/>
      <c r="E773" s="214"/>
      <c r="F773" s="214"/>
      <c r="G773" s="214"/>
    </row>
    <row r="774" spans="1:7" s="251" customFormat="1">
      <c r="A774" s="250"/>
      <c r="B774" s="213"/>
      <c r="C774" s="214"/>
      <c r="D774" s="214"/>
      <c r="E774" s="214"/>
      <c r="F774" s="214"/>
      <c r="G774" s="214"/>
    </row>
    <row r="775" spans="1:7" s="251" customFormat="1">
      <c r="A775" s="250"/>
      <c r="B775" s="213"/>
      <c r="C775" s="214"/>
      <c r="D775" s="214"/>
      <c r="E775" s="214"/>
      <c r="F775" s="214"/>
      <c r="G775" s="214"/>
    </row>
    <row r="776" spans="1:7" s="251" customFormat="1">
      <c r="A776" s="250"/>
      <c r="B776" s="213"/>
      <c r="C776" s="214"/>
      <c r="D776" s="214"/>
      <c r="E776" s="214"/>
      <c r="F776" s="214"/>
      <c r="G776" s="214"/>
    </row>
    <row r="777" spans="1:7" s="251" customFormat="1">
      <c r="A777" s="250"/>
      <c r="B777" s="213"/>
      <c r="C777" s="214"/>
      <c r="D777" s="214"/>
      <c r="E777" s="214"/>
      <c r="F777" s="214"/>
      <c r="G777" s="214"/>
    </row>
    <row r="778" spans="1:7" s="251" customFormat="1">
      <c r="A778" s="250"/>
      <c r="B778" s="213"/>
      <c r="C778" s="214"/>
      <c r="D778" s="214"/>
      <c r="E778" s="214"/>
      <c r="F778" s="214"/>
      <c r="G778" s="214"/>
    </row>
    <row r="779" spans="1:7" s="251" customFormat="1">
      <c r="A779" s="250"/>
      <c r="B779" s="213"/>
      <c r="C779" s="214"/>
      <c r="D779" s="214"/>
      <c r="E779" s="214"/>
      <c r="F779" s="214"/>
      <c r="G779" s="214"/>
    </row>
    <row r="780" spans="1:7" s="251" customFormat="1">
      <c r="A780" s="250"/>
      <c r="B780" s="213"/>
      <c r="C780" s="214"/>
      <c r="D780" s="214"/>
      <c r="E780" s="214"/>
      <c r="F780" s="214"/>
      <c r="G780" s="214"/>
    </row>
    <row r="781" spans="1:7" s="251" customFormat="1">
      <c r="A781" s="250"/>
      <c r="B781" s="213"/>
      <c r="C781" s="214"/>
      <c r="D781" s="214"/>
      <c r="E781" s="214"/>
      <c r="F781" s="214"/>
      <c r="G781" s="214"/>
    </row>
    <row r="782" spans="1:7" s="251" customFormat="1">
      <c r="A782" s="250"/>
      <c r="B782" s="213"/>
      <c r="C782" s="214"/>
      <c r="D782" s="214"/>
      <c r="E782" s="214"/>
      <c r="F782" s="214"/>
      <c r="G782" s="214"/>
    </row>
    <row r="783" spans="1:7" s="251" customFormat="1">
      <c r="A783" s="250"/>
      <c r="B783" s="213"/>
      <c r="C783" s="214"/>
      <c r="D783" s="214"/>
      <c r="E783" s="214"/>
      <c r="F783" s="214"/>
      <c r="G783" s="214"/>
    </row>
    <row r="784" spans="1:7" s="251" customFormat="1">
      <c r="A784" s="250"/>
      <c r="B784" s="213"/>
      <c r="C784" s="214"/>
      <c r="D784" s="214"/>
      <c r="E784" s="214"/>
      <c r="F784" s="214"/>
      <c r="G784" s="214"/>
    </row>
    <row r="785" spans="1:7" s="251" customFormat="1">
      <c r="A785" s="250"/>
      <c r="B785" s="213"/>
      <c r="C785" s="214"/>
      <c r="D785" s="214"/>
      <c r="E785" s="214"/>
      <c r="F785" s="214"/>
      <c r="G785" s="214"/>
    </row>
    <row r="786" spans="1:7" s="251" customFormat="1">
      <c r="A786" s="250"/>
      <c r="B786" s="213"/>
      <c r="C786" s="214"/>
      <c r="D786" s="214"/>
      <c r="E786" s="214"/>
      <c r="F786" s="214"/>
      <c r="G786" s="214"/>
    </row>
    <row r="787" spans="1:7" s="251" customFormat="1">
      <c r="A787" s="250"/>
      <c r="B787" s="213"/>
      <c r="C787" s="214"/>
      <c r="D787" s="214"/>
      <c r="E787" s="214"/>
      <c r="F787" s="214"/>
      <c r="G787" s="214"/>
    </row>
    <row r="788" spans="1:7" s="251" customFormat="1">
      <c r="A788" s="250"/>
      <c r="B788" s="213"/>
      <c r="C788" s="214"/>
      <c r="D788" s="214"/>
      <c r="E788" s="214"/>
      <c r="F788" s="214"/>
      <c r="G788" s="214"/>
    </row>
    <row r="789" spans="1:7" s="251" customFormat="1">
      <c r="A789" s="250"/>
      <c r="B789" s="213"/>
      <c r="C789" s="214"/>
      <c r="D789" s="214"/>
      <c r="E789" s="214"/>
      <c r="F789" s="214"/>
      <c r="G789" s="214"/>
    </row>
    <row r="790" spans="1:7" s="251" customFormat="1">
      <c r="A790" s="250"/>
      <c r="B790" s="213"/>
      <c r="C790" s="214"/>
      <c r="D790" s="214"/>
      <c r="E790" s="214"/>
      <c r="F790" s="214"/>
      <c r="G790" s="214"/>
    </row>
    <row r="791" spans="1:7" s="251" customFormat="1">
      <c r="A791" s="250"/>
      <c r="B791" s="213"/>
      <c r="C791" s="214"/>
      <c r="D791" s="214"/>
      <c r="E791" s="214"/>
      <c r="F791" s="214"/>
      <c r="G791" s="214"/>
    </row>
    <row r="792" spans="1:7" s="251" customFormat="1">
      <c r="A792" s="250"/>
      <c r="B792" s="213"/>
      <c r="C792" s="214"/>
      <c r="D792" s="214"/>
      <c r="E792" s="214"/>
      <c r="F792" s="214"/>
      <c r="G792" s="214"/>
    </row>
    <row r="793" spans="1:7" s="251" customFormat="1">
      <c r="A793" s="250"/>
      <c r="B793" s="213"/>
      <c r="C793" s="214"/>
      <c r="D793" s="214"/>
      <c r="E793" s="214"/>
      <c r="F793" s="214"/>
      <c r="G793" s="214"/>
    </row>
    <row r="794" spans="1:7" s="251" customFormat="1">
      <c r="A794" s="250"/>
      <c r="B794" s="213"/>
      <c r="C794" s="214"/>
      <c r="D794" s="214"/>
      <c r="E794" s="214"/>
      <c r="F794" s="214"/>
      <c r="G794" s="214"/>
    </row>
    <row r="795" spans="1:7" s="251" customFormat="1">
      <c r="A795" s="250"/>
      <c r="B795" s="213"/>
      <c r="C795" s="214"/>
      <c r="D795" s="214"/>
      <c r="E795" s="214"/>
      <c r="F795" s="214"/>
      <c r="G795" s="214"/>
    </row>
    <row r="796" spans="1:7" s="251" customFormat="1">
      <c r="A796" s="250"/>
      <c r="B796" s="213"/>
      <c r="C796" s="214"/>
      <c r="D796" s="214"/>
      <c r="E796" s="214"/>
      <c r="F796" s="214"/>
      <c r="G796" s="214"/>
    </row>
    <row r="797" spans="1:7" s="251" customFormat="1">
      <c r="A797" s="250"/>
      <c r="B797" s="213"/>
      <c r="C797" s="214"/>
      <c r="D797" s="214"/>
      <c r="E797" s="214"/>
      <c r="F797" s="214"/>
      <c r="G797" s="214"/>
    </row>
    <row r="798" spans="1:7" s="251" customFormat="1">
      <c r="A798" s="250"/>
      <c r="B798" s="213"/>
      <c r="C798" s="214"/>
      <c r="D798" s="214"/>
      <c r="E798" s="214"/>
      <c r="F798" s="214"/>
      <c r="G798" s="214"/>
    </row>
    <row r="799" spans="1:7" s="251" customFormat="1">
      <c r="A799" s="250"/>
      <c r="B799" s="213"/>
      <c r="C799" s="214"/>
      <c r="D799" s="214"/>
      <c r="E799" s="214"/>
      <c r="F799" s="214"/>
      <c r="G799" s="214"/>
    </row>
    <row r="800" spans="1:7" s="251" customFormat="1">
      <c r="A800" s="250"/>
      <c r="B800" s="213"/>
      <c r="C800" s="214"/>
      <c r="D800" s="214"/>
      <c r="E800" s="214"/>
      <c r="F800" s="214"/>
      <c r="G800" s="214"/>
    </row>
    <row r="801" spans="1:7" s="251" customFormat="1">
      <c r="A801" s="250"/>
      <c r="B801" s="213"/>
      <c r="C801" s="214"/>
      <c r="D801" s="214"/>
      <c r="E801" s="214"/>
      <c r="F801" s="214"/>
      <c r="G801" s="214"/>
    </row>
    <row r="802" spans="1:7" s="251" customFormat="1">
      <c r="A802" s="250"/>
      <c r="B802" s="213"/>
      <c r="C802" s="214"/>
      <c r="D802" s="214"/>
      <c r="E802" s="214"/>
      <c r="F802" s="214"/>
      <c r="G802" s="214"/>
    </row>
    <row r="803" spans="1:7" s="251" customFormat="1">
      <c r="A803" s="250"/>
      <c r="B803" s="213"/>
      <c r="C803" s="214"/>
      <c r="D803" s="214"/>
      <c r="E803" s="214"/>
      <c r="F803" s="214"/>
      <c r="G803" s="214"/>
    </row>
    <row r="804" spans="1:7" s="251" customFormat="1">
      <c r="A804" s="250"/>
      <c r="B804" s="213"/>
      <c r="C804" s="214"/>
      <c r="D804" s="214"/>
      <c r="E804" s="214"/>
      <c r="F804" s="214"/>
      <c r="G804" s="214"/>
    </row>
    <row r="805" spans="1:7" s="251" customFormat="1">
      <c r="A805" s="250"/>
      <c r="B805" s="213"/>
      <c r="C805" s="214"/>
      <c r="D805" s="214"/>
      <c r="E805" s="214"/>
      <c r="F805" s="214"/>
      <c r="G805" s="214"/>
    </row>
    <row r="806" spans="1:7" s="251" customFormat="1">
      <c r="A806" s="250"/>
      <c r="B806" s="213"/>
      <c r="C806" s="214"/>
      <c r="D806" s="214"/>
      <c r="E806" s="214"/>
      <c r="F806" s="214"/>
      <c r="G806" s="214"/>
    </row>
    <row r="807" spans="1:7" s="251" customFormat="1">
      <c r="A807" s="250"/>
      <c r="B807" s="213"/>
      <c r="C807" s="214"/>
      <c r="D807" s="214"/>
      <c r="E807" s="214"/>
      <c r="F807" s="214"/>
      <c r="G807" s="214"/>
    </row>
    <row r="808" spans="1:7" s="251" customFormat="1">
      <c r="A808" s="250"/>
      <c r="B808" s="213"/>
      <c r="C808" s="214"/>
      <c r="D808" s="214"/>
      <c r="E808" s="214"/>
      <c r="F808" s="214"/>
      <c r="G808" s="214"/>
    </row>
    <row r="809" spans="1:7" s="251" customFormat="1">
      <c r="A809" s="250"/>
      <c r="B809" s="213"/>
      <c r="C809" s="214"/>
      <c r="D809" s="214"/>
      <c r="E809" s="214"/>
      <c r="F809" s="214"/>
      <c r="G809" s="214"/>
    </row>
    <row r="810" spans="1:7" s="251" customFormat="1">
      <c r="A810" s="250"/>
      <c r="B810" s="213"/>
      <c r="C810" s="214"/>
      <c r="D810" s="214"/>
      <c r="E810" s="214"/>
      <c r="F810" s="214"/>
      <c r="G810" s="214"/>
    </row>
    <row r="811" spans="1:7" s="251" customFormat="1">
      <c r="A811" s="250"/>
      <c r="B811" s="213"/>
      <c r="C811" s="214"/>
      <c r="D811" s="214"/>
      <c r="E811" s="214"/>
      <c r="F811" s="214"/>
      <c r="G811" s="214"/>
    </row>
    <row r="812" spans="1:7" s="251" customFormat="1">
      <c r="A812" s="250"/>
      <c r="B812" s="213"/>
      <c r="C812" s="214"/>
      <c r="D812" s="214"/>
      <c r="E812" s="214"/>
      <c r="F812" s="214"/>
      <c r="G812" s="214"/>
    </row>
    <row r="813" spans="1:7" s="251" customFormat="1">
      <c r="A813" s="250"/>
      <c r="B813" s="213"/>
      <c r="C813" s="214"/>
      <c r="D813" s="214"/>
      <c r="E813" s="214"/>
      <c r="F813" s="214"/>
      <c r="G813" s="214"/>
    </row>
    <row r="814" spans="1:7" s="251" customFormat="1">
      <c r="A814" s="250"/>
      <c r="B814" s="213"/>
      <c r="C814" s="214"/>
      <c r="D814" s="214"/>
      <c r="E814" s="214"/>
      <c r="F814" s="214"/>
      <c r="G814" s="214"/>
    </row>
    <row r="815" spans="1:7" s="251" customFormat="1">
      <c r="A815" s="250"/>
      <c r="B815" s="213"/>
      <c r="C815" s="214"/>
      <c r="D815" s="214"/>
      <c r="E815" s="214"/>
      <c r="F815" s="214"/>
      <c r="G815" s="214"/>
    </row>
    <row r="816" spans="1:7" s="251" customFormat="1">
      <c r="A816" s="250"/>
      <c r="B816" s="213"/>
      <c r="C816" s="214"/>
      <c r="D816" s="214"/>
      <c r="E816" s="214"/>
      <c r="F816" s="214"/>
      <c r="G816" s="214"/>
    </row>
    <row r="817" spans="1:7" s="251" customFormat="1">
      <c r="A817" s="250"/>
      <c r="B817" s="213"/>
      <c r="C817" s="214"/>
      <c r="D817" s="214"/>
      <c r="E817" s="214"/>
      <c r="F817" s="214"/>
      <c r="G817" s="214"/>
    </row>
    <row r="818" spans="1:7" s="251" customFormat="1">
      <c r="A818" s="250"/>
      <c r="B818" s="213"/>
      <c r="C818" s="214"/>
      <c r="D818" s="214"/>
      <c r="E818" s="214"/>
      <c r="F818" s="214"/>
      <c r="G818" s="214"/>
    </row>
    <row r="819" spans="1:7" s="251" customFormat="1">
      <c r="A819" s="250"/>
      <c r="B819" s="213"/>
      <c r="C819" s="214"/>
      <c r="D819" s="214"/>
      <c r="E819" s="214"/>
      <c r="F819" s="214"/>
      <c r="G819" s="214"/>
    </row>
    <row r="820" spans="1:7" s="251" customFormat="1">
      <c r="A820" s="250"/>
      <c r="B820" s="213"/>
      <c r="C820" s="214"/>
      <c r="D820" s="214"/>
      <c r="E820" s="214"/>
      <c r="F820" s="214"/>
      <c r="G820" s="214"/>
    </row>
    <row r="821" spans="1:7" s="251" customFormat="1">
      <c r="A821" s="250"/>
      <c r="B821" s="213"/>
      <c r="C821" s="214"/>
      <c r="D821" s="214"/>
      <c r="E821" s="214"/>
      <c r="F821" s="214"/>
      <c r="G821" s="214"/>
    </row>
    <row r="822" spans="1:7" s="251" customFormat="1">
      <c r="A822" s="250"/>
      <c r="B822" s="213"/>
      <c r="C822" s="214"/>
      <c r="D822" s="214"/>
      <c r="E822" s="214"/>
      <c r="F822" s="214"/>
      <c r="G822" s="214"/>
    </row>
    <row r="823" spans="1:7" s="251" customFormat="1">
      <c r="A823" s="250"/>
      <c r="B823" s="213"/>
      <c r="C823" s="214"/>
      <c r="D823" s="214"/>
      <c r="E823" s="214"/>
      <c r="F823" s="214"/>
      <c r="G823" s="214"/>
    </row>
    <row r="824" spans="1:7" s="251" customFormat="1">
      <c r="A824" s="250"/>
      <c r="B824" s="213"/>
      <c r="C824" s="214"/>
      <c r="D824" s="214"/>
      <c r="E824" s="214"/>
      <c r="F824" s="214"/>
      <c r="G824" s="214"/>
    </row>
    <row r="825" spans="1:7" s="251" customFormat="1">
      <c r="A825" s="250"/>
      <c r="B825" s="213"/>
      <c r="C825" s="214"/>
      <c r="D825" s="214"/>
      <c r="E825" s="214"/>
      <c r="F825" s="214"/>
      <c r="G825" s="214"/>
    </row>
    <row r="826" spans="1:7" s="251" customFormat="1">
      <c r="A826" s="250"/>
      <c r="B826" s="213"/>
      <c r="C826" s="214"/>
      <c r="D826" s="214"/>
      <c r="E826" s="214"/>
      <c r="F826" s="214"/>
      <c r="G826" s="214"/>
    </row>
    <row r="827" spans="1:7" s="251" customFormat="1">
      <c r="A827" s="250"/>
      <c r="B827" s="213"/>
      <c r="C827" s="214"/>
      <c r="D827" s="214"/>
      <c r="E827" s="214"/>
      <c r="F827" s="214"/>
      <c r="G827" s="214"/>
    </row>
    <row r="828" spans="1:7" s="251" customFormat="1">
      <c r="A828" s="250"/>
      <c r="B828" s="213"/>
      <c r="C828" s="214"/>
      <c r="D828" s="214"/>
      <c r="E828" s="214"/>
      <c r="F828" s="214"/>
      <c r="G828" s="214"/>
    </row>
    <row r="829" spans="1:7" s="251" customFormat="1">
      <c r="A829" s="250"/>
      <c r="B829" s="213"/>
      <c r="C829" s="214"/>
      <c r="D829" s="214"/>
      <c r="E829" s="214"/>
      <c r="F829" s="214"/>
      <c r="G829" s="214"/>
    </row>
    <row r="830" spans="1:7" s="251" customFormat="1">
      <c r="A830" s="250"/>
      <c r="B830" s="213"/>
      <c r="C830" s="214"/>
      <c r="D830" s="214"/>
      <c r="E830" s="214"/>
      <c r="F830" s="214"/>
      <c r="G830" s="214"/>
    </row>
    <row r="831" spans="1:7" s="251" customFormat="1">
      <c r="A831" s="250"/>
      <c r="B831" s="213"/>
      <c r="C831" s="214"/>
      <c r="D831" s="214"/>
      <c r="E831" s="214"/>
      <c r="F831" s="214"/>
      <c r="G831" s="214"/>
    </row>
    <row r="832" spans="1:7" s="251" customFormat="1">
      <c r="A832" s="250"/>
      <c r="B832" s="213"/>
      <c r="C832" s="214"/>
      <c r="D832" s="214"/>
      <c r="E832" s="214"/>
      <c r="F832" s="214"/>
      <c r="G832" s="214"/>
    </row>
    <row r="833" spans="1:7" s="251" customFormat="1">
      <c r="A833" s="250"/>
      <c r="B833" s="213"/>
      <c r="C833" s="214"/>
      <c r="D833" s="214"/>
      <c r="E833" s="214"/>
      <c r="F833" s="214"/>
      <c r="G833" s="214"/>
    </row>
    <row r="834" spans="1:7" s="251" customFormat="1">
      <c r="A834" s="250"/>
      <c r="B834" s="213"/>
      <c r="C834" s="214"/>
      <c r="D834" s="214"/>
      <c r="E834" s="214"/>
      <c r="F834" s="214"/>
      <c r="G834" s="214"/>
    </row>
    <row r="835" spans="1:7" s="251" customFormat="1">
      <c r="A835" s="250"/>
      <c r="B835" s="213"/>
      <c r="C835" s="214"/>
      <c r="D835" s="214"/>
      <c r="E835" s="214"/>
      <c r="F835" s="214"/>
      <c r="G835" s="214"/>
    </row>
    <row r="836" spans="1:7" s="251" customFormat="1">
      <c r="A836" s="250"/>
      <c r="B836" s="213"/>
      <c r="C836" s="214"/>
      <c r="D836" s="214"/>
      <c r="E836" s="214"/>
      <c r="F836" s="214"/>
      <c r="G836" s="214"/>
    </row>
    <row r="837" spans="1:7" s="251" customFormat="1">
      <c r="A837" s="250"/>
      <c r="B837" s="213"/>
      <c r="C837" s="214"/>
      <c r="D837" s="214"/>
      <c r="E837" s="214"/>
      <c r="F837" s="214"/>
      <c r="G837" s="214"/>
    </row>
    <row r="838" spans="1:7" s="251" customFormat="1">
      <c r="A838" s="250"/>
      <c r="B838" s="213"/>
      <c r="C838" s="214"/>
      <c r="D838" s="214"/>
      <c r="E838" s="214"/>
      <c r="F838" s="214"/>
      <c r="G838" s="214"/>
    </row>
    <row r="839" spans="1:7" s="251" customFormat="1">
      <c r="A839" s="250"/>
      <c r="B839" s="213"/>
      <c r="C839" s="214"/>
      <c r="D839" s="214"/>
      <c r="E839" s="214"/>
      <c r="F839" s="214"/>
      <c r="G839" s="214"/>
    </row>
    <row r="840" spans="1:7" s="251" customFormat="1">
      <c r="A840" s="250"/>
      <c r="B840" s="213"/>
      <c r="C840" s="214"/>
      <c r="D840" s="214"/>
      <c r="E840" s="214"/>
      <c r="F840" s="214"/>
      <c r="G840" s="214"/>
    </row>
    <row r="841" spans="1:7" s="251" customFormat="1">
      <c r="A841" s="250"/>
      <c r="B841" s="213"/>
      <c r="C841" s="214"/>
      <c r="D841" s="214"/>
      <c r="E841" s="214"/>
      <c r="F841" s="214"/>
      <c r="G841" s="214"/>
    </row>
    <row r="842" spans="1:7" s="251" customFormat="1">
      <c r="A842" s="250"/>
      <c r="B842" s="213"/>
      <c r="C842" s="214"/>
      <c r="D842" s="214"/>
      <c r="E842" s="214"/>
      <c r="F842" s="214"/>
      <c r="G842" s="214"/>
    </row>
    <row r="843" spans="1:7" s="251" customFormat="1">
      <c r="A843" s="250"/>
      <c r="B843" s="213"/>
      <c r="C843" s="214"/>
      <c r="D843" s="214"/>
      <c r="E843" s="214"/>
      <c r="F843" s="214"/>
      <c r="G843" s="214"/>
    </row>
    <row r="844" spans="1:7" s="251" customFormat="1">
      <c r="A844" s="250"/>
      <c r="B844" s="213"/>
      <c r="C844" s="214"/>
      <c r="D844" s="214"/>
      <c r="E844" s="214"/>
      <c r="F844" s="214"/>
      <c r="G844" s="214"/>
    </row>
    <row r="845" spans="1:7" s="251" customFormat="1">
      <c r="A845" s="250"/>
      <c r="B845" s="213"/>
      <c r="C845" s="214"/>
      <c r="D845" s="214"/>
      <c r="E845" s="214"/>
      <c r="F845" s="214"/>
      <c r="G845" s="214"/>
    </row>
    <row r="846" spans="1:7" s="251" customFormat="1">
      <c r="A846" s="250"/>
      <c r="B846" s="213"/>
      <c r="C846" s="214"/>
      <c r="D846" s="214"/>
      <c r="E846" s="214"/>
      <c r="F846" s="214"/>
      <c r="G846" s="214"/>
    </row>
    <row r="847" spans="1:7" s="251" customFormat="1">
      <c r="A847" s="250"/>
      <c r="B847" s="213"/>
      <c r="C847" s="214"/>
      <c r="D847" s="214"/>
      <c r="E847" s="214"/>
      <c r="F847" s="214"/>
      <c r="G847" s="214"/>
    </row>
    <row r="848" spans="1:7" s="251" customFormat="1">
      <c r="A848" s="250"/>
      <c r="B848" s="213"/>
      <c r="C848" s="214"/>
      <c r="D848" s="214"/>
      <c r="E848" s="214"/>
      <c r="F848" s="214"/>
      <c r="G848" s="214"/>
    </row>
    <row r="849" spans="1:7" s="251" customFormat="1">
      <c r="A849" s="250"/>
      <c r="B849" s="213"/>
      <c r="C849" s="214"/>
      <c r="D849" s="214"/>
      <c r="E849" s="214"/>
      <c r="F849" s="214"/>
      <c r="G849" s="214"/>
    </row>
    <row r="850" spans="1:7" s="251" customFormat="1">
      <c r="A850" s="250"/>
      <c r="B850" s="213"/>
      <c r="C850" s="214"/>
      <c r="D850" s="214"/>
      <c r="E850" s="214"/>
      <c r="F850" s="214"/>
      <c r="G850" s="214"/>
    </row>
    <row r="851" spans="1:7" s="251" customFormat="1">
      <c r="A851" s="250"/>
      <c r="B851" s="213"/>
      <c r="C851" s="214"/>
      <c r="D851" s="214"/>
      <c r="E851" s="214"/>
      <c r="F851" s="214"/>
      <c r="G851" s="214"/>
    </row>
    <row r="852" spans="1:7" s="251" customFormat="1">
      <c r="A852" s="250"/>
      <c r="B852" s="213"/>
      <c r="C852" s="214"/>
      <c r="D852" s="214"/>
      <c r="E852" s="214"/>
      <c r="F852" s="214"/>
      <c r="G852" s="214"/>
    </row>
    <row r="853" spans="1:7" s="251" customFormat="1">
      <c r="A853" s="250"/>
      <c r="B853" s="213"/>
      <c r="C853" s="214"/>
      <c r="D853" s="214"/>
      <c r="E853" s="214"/>
      <c r="F853" s="214"/>
      <c r="G853" s="214"/>
    </row>
    <row r="854" spans="1:7" s="251" customFormat="1">
      <c r="A854" s="250"/>
      <c r="B854" s="213"/>
      <c r="C854" s="214"/>
      <c r="D854" s="214"/>
      <c r="E854" s="214"/>
      <c r="F854" s="214"/>
      <c r="G854" s="214"/>
    </row>
    <row r="855" spans="1:7" s="251" customFormat="1">
      <c r="A855" s="250"/>
      <c r="B855" s="213"/>
      <c r="C855" s="214"/>
      <c r="D855" s="214"/>
      <c r="E855" s="214"/>
      <c r="F855" s="214"/>
      <c r="G855" s="214"/>
    </row>
    <row r="856" spans="1:7" s="251" customFormat="1">
      <c r="A856" s="250"/>
      <c r="B856" s="213"/>
      <c r="C856" s="214"/>
      <c r="D856" s="214"/>
      <c r="E856" s="214"/>
      <c r="F856" s="214"/>
      <c r="G856" s="214"/>
    </row>
    <row r="857" spans="1:7" s="251" customFormat="1">
      <c r="A857" s="250"/>
      <c r="B857" s="213"/>
      <c r="C857" s="214"/>
      <c r="D857" s="214"/>
      <c r="E857" s="214"/>
      <c r="F857" s="214"/>
      <c r="G857" s="214"/>
    </row>
    <row r="858" spans="1:7" s="251" customFormat="1">
      <c r="A858" s="250"/>
      <c r="B858" s="213"/>
      <c r="C858" s="214"/>
      <c r="D858" s="214"/>
      <c r="E858" s="214"/>
      <c r="F858" s="214"/>
      <c r="G858" s="214"/>
    </row>
    <row r="859" spans="1:7" s="251" customFormat="1">
      <c r="A859" s="250"/>
      <c r="B859" s="213"/>
      <c r="C859" s="214"/>
      <c r="D859" s="214"/>
      <c r="E859" s="214"/>
      <c r="F859" s="214"/>
      <c r="G859" s="214"/>
    </row>
    <row r="860" spans="1:7" s="251" customFormat="1">
      <c r="A860" s="250"/>
      <c r="B860" s="213"/>
      <c r="C860" s="214"/>
      <c r="D860" s="214"/>
      <c r="E860" s="214"/>
      <c r="F860" s="214"/>
      <c r="G860" s="214"/>
    </row>
    <row r="861" spans="1:7" s="251" customFormat="1">
      <c r="A861" s="250"/>
      <c r="B861" s="213"/>
      <c r="C861" s="214"/>
      <c r="D861" s="214"/>
      <c r="E861" s="214"/>
      <c r="F861" s="214"/>
      <c r="G861" s="214"/>
    </row>
    <row r="862" spans="1:7" s="251" customFormat="1">
      <c r="A862" s="250"/>
      <c r="B862" s="213"/>
      <c r="C862" s="214"/>
      <c r="D862" s="214"/>
      <c r="E862" s="214"/>
      <c r="F862" s="214"/>
      <c r="G862" s="214"/>
    </row>
    <row r="863" spans="1:7" s="251" customFormat="1">
      <c r="A863" s="250"/>
      <c r="B863" s="213"/>
      <c r="C863" s="214"/>
      <c r="D863" s="214"/>
      <c r="E863" s="214"/>
      <c r="F863" s="214"/>
      <c r="G863" s="214"/>
    </row>
    <row r="864" spans="1:7" s="251" customFormat="1">
      <c r="A864" s="250"/>
      <c r="B864" s="213"/>
      <c r="C864" s="214"/>
      <c r="D864" s="214"/>
      <c r="E864" s="214"/>
      <c r="F864" s="214"/>
      <c r="G864" s="214"/>
    </row>
    <row r="865" spans="1:7" s="251" customFormat="1">
      <c r="A865" s="250"/>
      <c r="B865" s="213"/>
      <c r="C865" s="214"/>
      <c r="D865" s="214"/>
      <c r="E865" s="214"/>
      <c r="F865" s="214"/>
      <c r="G865" s="214"/>
    </row>
    <row r="866" spans="1:7" s="251" customFormat="1">
      <c r="A866" s="250"/>
      <c r="B866" s="213"/>
      <c r="C866" s="214"/>
      <c r="D866" s="214"/>
      <c r="E866" s="214"/>
      <c r="F866" s="214"/>
      <c r="G866" s="214"/>
    </row>
    <row r="867" spans="1:7" s="251" customFormat="1">
      <c r="A867" s="250"/>
      <c r="B867" s="213"/>
      <c r="C867" s="214"/>
      <c r="D867" s="214"/>
      <c r="E867" s="214"/>
      <c r="F867" s="214"/>
      <c r="G867" s="214"/>
    </row>
    <row r="868" spans="1:7" s="251" customFormat="1">
      <c r="A868" s="250"/>
      <c r="B868" s="213"/>
      <c r="C868" s="214"/>
      <c r="D868" s="214"/>
      <c r="E868" s="214"/>
      <c r="F868" s="214"/>
      <c r="G868" s="214"/>
    </row>
    <row r="869" spans="1:7" s="251" customFormat="1">
      <c r="A869" s="250"/>
      <c r="B869" s="213"/>
      <c r="C869" s="214"/>
      <c r="D869" s="214"/>
      <c r="E869" s="214"/>
      <c r="F869" s="214"/>
      <c r="G869" s="214"/>
    </row>
    <row r="870" spans="1:7" s="251" customFormat="1">
      <c r="A870" s="250"/>
      <c r="B870" s="213"/>
      <c r="C870" s="214"/>
      <c r="D870" s="214"/>
      <c r="E870" s="214"/>
      <c r="F870" s="214"/>
      <c r="G870" s="214"/>
    </row>
    <row r="871" spans="1:7" s="251" customFormat="1">
      <c r="A871" s="250"/>
      <c r="B871" s="213"/>
      <c r="C871" s="214"/>
      <c r="D871" s="214"/>
      <c r="E871" s="214"/>
      <c r="F871" s="214"/>
      <c r="G871" s="214"/>
    </row>
    <row r="872" spans="1:7" s="251" customFormat="1">
      <c r="A872" s="250"/>
      <c r="B872" s="213"/>
      <c r="C872" s="214"/>
      <c r="D872" s="214"/>
      <c r="E872" s="214"/>
      <c r="F872" s="214"/>
      <c r="G872" s="214"/>
    </row>
    <row r="873" spans="1:7" s="251" customFormat="1">
      <c r="A873" s="250"/>
      <c r="B873" s="213"/>
      <c r="C873" s="214"/>
      <c r="D873" s="214"/>
      <c r="E873" s="214"/>
      <c r="F873" s="214"/>
      <c r="G873" s="214"/>
    </row>
    <row r="874" spans="1:7" s="251" customFormat="1">
      <c r="A874" s="250"/>
      <c r="B874" s="213"/>
      <c r="C874" s="214"/>
      <c r="D874" s="214"/>
      <c r="E874" s="214"/>
      <c r="F874" s="214"/>
      <c r="G874" s="214"/>
    </row>
    <row r="875" spans="1:7" s="251" customFormat="1">
      <c r="A875" s="250"/>
      <c r="B875" s="213"/>
      <c r="C875" s="214"/>
      <c r="D875" s="214"/>
      <c r="E875" s="214"/>
      <c r="F875" s="214"/>
      <c r="G875" s="214"/>
    </row>
    <row r="876" spans="1:7" s="251" customFormat="1">
      <c r="A876" s="250"/>
      <c r="B876" s="213"/>
      <c r="C876" s="214"/>
      <c r="D876" s="214"/>
      <c r="E876" s="214"/>
      <c r="F876" s="214"/>
      <c r="G876" s="214"/>
    </row>
    <row r="877" spans="1:7" s="251" customFormat="1">
      <c r="A877" s="250"/>
      <c r="B877" s="213"/>
      <c r="C877" s="214"/>
      <c r="D877" s="214"/>
      <c r="E877" s="214"/>
      <c r="F877" s="214"/>
      <c r="G877" s="214"/>
    </row>
    <row r="878" spans="1:7" s="251" customFormat="1">
      <c r="A878" s="250"/>
      <c r="B878" s="213"/>
      <c r="C878" s="214"/>
      <c r="D878" s="214"/>
      <c r="E878" s="214"/>
      <c r="F878" s="214"/>
      <c r="G878" s="214"/>
    </row>
    <row r="879" spans="1:7" s="251" customFormat="1">
      <c r="A879" s="250"/>
      <c r="B879" s="213"/>
      <c r="C879" s="214"/>
      <c r="D879" s="214"/>
      <c r="E879" s="214"/>
      <c r="F879" s="214"/>
      <c r="G879" s="214"/>
    </row>
    <row r="880" spans="1:7" s="251" customFormat="1">
      <c r="A880" s="250"/>
      <c r="B880" s="213"/>
      <c r="C880" s="214"/>
      <c r="D880" s="214"/>
      <c r="E880" s="214"/>
      <c r="F880" s="214"/>
      <c r="G880" s="214"/>
    </row>
    <row r="881" spans="1:7" s="251" customFormat="1">
      <c r="A881" s="250"/>
      <c r="B881" s="213"/>
      <c r="C881" s="214"/>
      <c r="D881" s="214"/>
      <c r="E881" s="214"/>
      <c r="F881" s="214"/>
      <c r="G881" s="214"/>
    </row>
    <row r="882" spans="1:7" s="251" customFormat="1">
      <c r="A882" s="250"/>
      <c r="B882" s="213"/>
      <c r="C882" s="214"/>
      <c r="D882" s="214"/>
      <c r="E882" s="214"/>
      <c r="F882" s="214"/>
      <c r="G882" s="214"/>
    </row>
    <row r="883" spans="1:7" s="251" customFormat="1">
      <c r="A883" s="250"/>
      <c r="B883" s="213"/>
      <c r="C883" s="214"/>
      <c r="D883" s="214"/>
      <c r="E883" s="214"/>
      <c r="F883" s="214"/>
      <c r="G883" s="214"/>
    </row>
    <row r="884" spans="1:7" s="251" customFormat="1">
      <c r="A884" s="250"/>
      <c r="B884" s="213"/>
      <c r="C884" s="214"/>
      <c r="D884" s="214"/>
      <c r="E884" s="214"/>
      <c r="F884" s="214"/>
      <c r="G884" s="214"/>
    </row>
    <row r="885" spans="1:7" s="251" customFormat="1">
      <c r="A885" s="250"/>
      <c r="B885" s="213"/>
      <c r="C885" s="214"/>
      <c r="D885" s="214"/>
      <c r="E885" s="214"/>
      <c r="F885" s="214"/>
      <c r="G885" s="214"/>
    </row>
    <row r="886" spans="1:7" s="251" customFormat="1">
      <c r="A886" s="250"/>
      <c r="B886" s="213"/>
      <c r="C886" s="214"/>
      <c r="D886" s="214"/>
      <c r="E886" s="214"/>
      <c r="F886" s="214"/>
      <c r="G886" s="214"/>
    </row>
    <row r="887" spans="1:7" s="251" customFormat="1">
      <c r="A887" s="250"/>
      <c r="B887" s="213"/>
      <c r="C887" s="214"/>
      <c r="D887" s="214"/>
      <c r="E887" s="214"/>
      <c r="F887" s="214"/>
      <c r="G887" s="214"/>
    </row>
    <row r="888" spans="1:7" s="251" customFormat="1">
      <c r="A888" s="250"/>
      <c r="B888" s="213"/>
      <c r="C888" s="214"/>
      <c r="D888" s="214"/>
      <c r="E888" s="214"/>
      <c r="F888" s="214"/>
      <c r="G888" s="214"/>
    </row>
    <row r="889" spans="1:7" s="251" customFormat="1">
      <c r="A889" s="250"/>
      <c r="B889" s="213"/>
      <c r="C889" s="214"/>
      <c r="D889" s="214"/>
      <c r="E889" s="214"/>
      <c r="F889" s="214"/>
      <c r="G889" s="214"/>
    </row>
    <row r="890" spans="1:7" s="251" customFormat="1">
      <c r="A890" s="250"/>
      <c r="B890" s="213"/>
      <c r="C890" s="214"/>
      <c r="D890" s="214"/>
      <c r="E890" s="214"/>
      <c r="F890" s="214"/>
      <c r="G890" s="214"/>
    </row>
    <row r="891" spans="1:7" s="251" customFormat="1">
      <c r="A891" s="250"/>
      <c r="B891" s="213"/>
      <c r="C891" s="214"/>
      <c r="D891" s="214"/>
      <c r="E891" s="214"/>
      <c r="F891" s="214"/>
      <c r="G891" s="214"/>
    </row>
    <row r="892" spans="1:7" s="251" customFormat="1">
      <c r="A892" s="250"/>
      <c r="B892" s="213"/>
      <c r="C892" s="214"/>
      <c r="D892" s="214"/>
      <c r="E892" s="214"/>
      <c r="F892" s="214"/>
      <c r="G892" s="214"/>
    </row>
    <row r="893" spans="1:7" s="251" customFormat="1">
      <c r="A893" s="250"/>
      <c r="B893" s="213"/>
      <c r="C893" s="214"/>
      <c r="D893" s="214"/>
      <c r="E893" s="214"/>
      <c r="F893" s="214"/>
      <c r="G893" s="214"/>
    </row>
    <row r="894" spans="1:7" s="251" customFormat="1">
      <c r="A894" s="250"/>
      <c r="B894" s="213"/>
      <c r="C894" s="214"/>
      <c r="D894" s="214"/>
      <c r="E894" s="214"/>
      <c r="F894" s="214"/>
      <c r="G894" s="214"/>
    </row>
    <row r="895" spans="1:7" s="251" customFormat="1">
      <c r="A895" s="250"/>
      <c r="B895" s="213"/>
      <c r="C895" s="214"/>
      <c r="D895" s="214"/>
      <c r="E895" s="214"/>
      <c r="F895" s="214"/>
      <c r="G895" s="214"/>
    </row>
    <row r="896" spans="1:7" s="251" customFormat="1">
      <c r="A896" s="250"/>
      <c r="B896" s="213"/>
      <c r="C896" s="214"/>
      <c r="D896" s="214"/>
      <c r="E896" s="214"/>
      <c r="F896" s="214"/>
      <c r="G896" s="214"/>
    </row>
    <row r="897" spans="1:7" s="251" customFormat="1">
      <c r="A897" s="250"/>
      <c r="B897" s="213"/>
      <c r="C897" s="214"/>
      <c r="D897" s="214"/>
      <c r="E897" s="214"/>
      <c r="F897" s="214"/>
      <c r="G897" s="214"/>
    </row>
    <row r="898" spans="1:7" s="251" customFormat="1">
      <c r="A898" s="250"/>
      <c r="B898" s="213"/>
      <c r="C898" s="214"/>
      <c r="D898" s="214"/>
      <c r="E898" s="214"/>
      <c r="F898" s="214"/>
      <c r="G898" s="214"/>
    </row>
    <row r="899" spans="1:7" s="251" customFormat="1">
      <c r="A899" s="250"/>
      <c r="B899" s="213"/>
      <c r="C899" s="214"/>
      <c r="D899" s="214"/>
      <c r="E899" s="214"/>
      <c r="F899" s="214"/>
      <c r="G899" s="214"/>
    </row>
    <row r="900" spans="1:7" s="251" customFormat="1">
      <c r="A900" s="250"/>
      <c r="B900" s="213"/>
      <c r="C900" s="214"/>
      <c r="D900" s="214"/>
      <c r="E900" s="214"/>
      <c r="F900" s="214"/>
      <c r="G900" s="214"/>
    </row>
    <row r="901" spans="1:7" s="251" customFormat="1">
      <c r="A901" s="250"/>
      <c r="B901" s="213"/>
      <c r="C901" s="214"/>
      <c r="D901" s="214"/>
      <c r="E901" s="214"/>
      <c r="F901" s="214"/>
      <c r="G901" s="214"/>
    </row>
    <row r="902" spans="1:7" s="251" customFormat="1">
      <c r="A902" s="250"/>
      <c r="B902" s="213"/>
      <c r="C902" s="214"/>
      <c r="D902" s="214"/>
      <c r="E902" s="214"/>
      <c r="F902" s="214"/>
      <c r="G902" s="214"/>
    </row>
    <row r="903" spans="1:7" s="251" customFormat="1">
      <c r="A903" s="250"/>
      <c r="B903" s="213"/>
      <c r="C903" s="214"/>
      <c r="D903" s="214"/>
      <c r="E903" s="214"/>
      <c r="F903" s="214"/>
      <c r="G903" s="214"/>
    </row>
    <row r="904" spans="1:7" s="251" customFormat="1">
      <c r="A904" s="250"/>
      <c r="B904" s="213"/>
      <c r="C904" s="214"/>
      <c r="D904" s="214"/>
      <c r="E904" s="214"/>
      <c r="F904" s="214"/>
      <c r="G904" s="214"/>
    </row>
    <row r="905" spans="1:7" s="251" customFormat="1">
      <c r="A905" s="250"/>
      <c r="B905" s="213"/>
      <c r="C905" s="214"/>
      <c r="D905" s="214"/>
      <c r="E905" s="214"/>
      <c r="F905" s="214"/>
      <c r="G905" s="214"/>
    </row>
    <row r="906" spans="1:7" s="251" customFormat="1">
      <c r="A906" s="250"/>
      <c r="B906" s="213"/>
      <c r="C906" s="214"/>
      <c r="D906" s="214"/>
      <c r="E906" s="214"/>
      <c r="F906" s="214"/>
      <c r="G906" s="214"/>
    </row>
    <row r="907" spans="1:7" s="251" customFormat="1">
      <c r="A907" s="250"/>
      <c r="B907" s="213"/>
      <c r="C907" s="214"/>
      <c r="D907" s="214"/>
      <c r="E907" s="214"/>
      <c r="F907" s="214"/>
      <c r="G907" s="214"/>
    </row>
    <row r="908" spans="1:7" s="251" customFormat="1">
      <c r="A908" s="250"/>
      <c r="B908" s="213"/>
      <c r="C908" s="214"/>
      <c r="D908" s="214"/>
      <c r="E908" s="214"/>
      <c r="F908" s="214"/>
      <c r="G908" s="214"/>
    </row>
    <row r="909" spans="1:7" s="251" customFormat="1">
      <c r="A909" s="250"/>
      <c r="B909" s="213"/>
      <c r="C909" s="214"/>
      <c r="D909" s="214"/>
      <c r="E909" s="214"/>
      <c r="F909" s="214"/>
      <c r="G909" s="214"/>
    </row>
    <row r="910" spans="1:7" s="251" customFormat="1">
      <c r="A910" s="250"/>
      <c r="B910" s="213"/>
      <c r="C910" s="214"/>
      <c r="D910" s="214"/>
      <c r="E910" s="214"/>
      <c r="F910" s="214"/>
      <c r="G910" s="214"/>
    </row>
    <row r="911" spans="1:7" s="251" customFormat="1">
      <c r="A911" s="250"/>
      <c r="B911" s="213"/>
      <c r="C911" s="214"/>
      <c r="D911" s="214"/>
      <c r="E911" s="214"/>
      <c r="F911" s="214"/>
      <c r="G911" s="214"/>
    </row>
    <row r="912" spans="1:7" s="251" customFormat="1">
      <c r="A912" s="250"/>
      <c r="B912" s="213"/>
      <c r="C912" s="214"/>
      <c r="D912" s="214"/>
      <c r="E912" s="214"/>
      <c r="F912" s="214"/>
      <c r="G912" s="214"/>
    </row>
    <row r="913" spans="1:7" s="251" customFormat="1">
      <c r="A913" s="250"/>
      <c r="B913" s="213"/>
      <c r="C913" s="214"/>
      <c r="D913" s="214"/>
      <c r="E913" s="214"/>
      <c r="F913" s="214"/>
      <c r="G913" s="214"/>
    </row>
    <row r="914" spans="1:7" s="251" customFormat="1">
      <c r="A914" s="250"/>
      <c r="B914" s="213"/>
      <c r="C914" s="214"/>
      <c r="D914" s="214"/>
      <c r="E914" s="214"/>
      <c r="F914" s="214"/>
      <c r="G914" s="214"/>
    </row>
    <row r="915" spans="1:7" s="251" customFormat="1">
      <c r="A915" s="250"/>
      <c r="B915" s="213"/>
      <c r="C915" s="214"/>
      <c r="D915" s="214"/>
      <c r="E915" s="214"/>
      <c r="F915" s="214"/>
      <c r="G915" s="214"/>
    </row>
    <row r="916" spans="1:7" s="251" customFormat="1">
      <c r="A916" s="250"/>
      <c r="B916" s="213"/>
      <c r="C916" s="214"/>
      <c r="D916" s="214"/>
      <c r="E916" s="214"/>
      <c r="F916" s="214"/>
      <c r="G916" s="214"/>
    </row>
    <row r="917" spans="1:7" s="251" customFormat="1">
      <c r="A917" s="250"/>
      <c r="B917" s="213"/>
      <c r="C917" s="214"/>
      <c r="D917" s="214"/>
      <c r="E917" s="214"/>
      <c r="F917" s="214"/>
      <c r="G917" s="214"/>
    </row>
    <row r="918" spans="1:7" s="251" customFormat="1">
      <c r="A918" s="250"/>
      <c r="B918" s="213"/>
      <c r="C918" s="214"/>
      <c r="D918" s="214"/>
      <c r="E918" s="214"/>
      <c r="F918" s="214"/>
      <c r="G918" s="214"/>
    </row>
    <row r="919" spans="1:7" s="251" customFormat="1">
      <c r="A919" s="250"/>
      <c r="B919" s="213"/>
      <c r="C919" s="214"/>
      <c r="D919" s="214"/>
      <c r="E919" s="214"/>
      <c r="F919" s="214"/>
      <c r="G919" s="214"/>
    </row>
    <row r="920" spans="1:7" s="251" customFormat="1">
      <c r="A920" s="250"/>
      <c r="B920" s="213"/>
      <c r="C920" s="214"/>
      <c r="D920" s="214"/>
      <c r="E920" s="214"/>
      <c r="F920" s="214"/>
      <c r="G920" s="214"/>
    </row>
    <row r="921" spans="1:7" s="251" customFormat="1">
      <c r="A921" s="250"/>
      <c r="B921" s="213"/>
      <c r="C921" s="214"/>
      <c r="D921" s="214"/>
      <c r="E921" s="214"/>
      <c r="F921" s="214"/>
      <c r="G921" s="214"/>
    </row>
    <row r="922" spans="1:7" s="251" customFormat="1">
      <c r="A922" s="250"/>
      <c r="B922" s="213"/>
      <c r="C922" s="214"/>
      <c r="D922" s="214"/>
      <c r="E922" s="214"/>
      <c r="F922" s="214"/>
      <c r="G922" s="214"/>
    </row>
    <row r="923" spans="1:7" s="251" customFormat="1">
      <c r="A923" s="250"/>
      <c r="B923" s="213"/>
      <c r="C923" s="214"/>
      <c r="D923" s="214"/>
      <c r="E923" s="214"/>
      <c r="F923" s="214"/>
      <c r="G923" s="214"/>
    </row>
    <row r="924" spans="1:7" s="251" customFormat="1">
      <c r="A924" s="250"/>
      <c r="B924" s="213"/>
      <c r="C924" s="214"/>
      <c r="D924" s="214"/>
      <c r="E924" s="214"/>
      <c r="F924" s="214"/>
      <c r="G924" s="214"/>
    </row>
    <row r="925" spans="1:7" s="251" customFormat="1">
      <c r="A925" s="250"/>
      <c r="B925" s="213"/>
      <c r="C925" s="214"/>
      <c r="D925" s="214"/>
      <c r="E925" s="214"/>
      <c r="F925" s="214"/>
      <c r="G925" s="214"/>
    </row>
    <row r="926" spans="1:7" s="251" customFormat="1">
      <c r="A926" s="250"/>
      <c r="B926" s="213"/>
      <c r="C926" s="214"/>
      <c r="D926" s="214"/>
      <c r="E926" s="214"/>
      <c r="F926" s="214"/>
      <c r="G926" s="214"/>
    </row>
    <row r="927" spans="1:7" s="251" customFormat="1">
      <c r="A927" s="250"/>
      <c r="B927" s="213"/>
      <c r="C927" s="214"/>
      <c r="D927" s="214"/>
      <c r="E927" s="214"/>
      <c r="F927" s="214"/>
      <c r="G927" s="214"/>
    </row>
    <row r="928" spans="1:7" s="251" customFormat="1">
      <c r="A928" s="250"/>
      <c r="B928" s="213"/>
      <c r="C928" s="214"/>
      <c r="D928" s="214"/>
      <c r="E928" s="214"/>
      <c r="F928" s="214"/>
      <c r="G928" s="214"/>
    </row>
    <row r="929" spans="1:7" s="251" customFormat="1">
      <c r="A929" s="250"/>
      <c r="B929" s="213"/>
      <c r="C929" s="214"/>
      <c r="D929" s="214"/>
      <c r="E929" s="214"/>
      <c r="F929" s="214"/>
      <c r="G929" s="214"/>
    </row>
    <row r="930" spans="1:7" s="251" customFormat="1">
      <c r="A930" s="250"/>
      <c r="B930" s="213"/>
      <c r="C930" s="214"/>
      <c r="D930" s="214"/>
      <c r="E930" s="214"/>
      <c r="F930" s="214"/>
      <c r="G930" s="214"/>
    </row>
    <row r="931" spans="1:7" s="251" customFormat="1">
      <c r="A931" s="250"/>
      <c r="B931" s="213"/>
      <c r="C931" s="214"/>
      <c r="D931" s="214"/>
      <c r="E931" s="214"/>
      <c r="F931" s="214"/>
      <c r="G931" s="214"/>
    </row>
    <row r="932" spans="1:7" s="251" customFormat="1">
      <c r="A932" s="250"/>
      <c r="B932" s="213"/>
      <c r="C932" s="214"/>
      <c r="D932" s="214"/>
      <c r="E932" s="214"/>
      <c r="F932" s="214"/>
      <c r="G932" s="214"/>
    </row>
    <row r="933" spans="1:7" s="251" customFormat="1">
      <c r="A933" s="250"/>
      <c r="B933" s="213"/>
      <c r="C933" s="214"/>
      <c r="D933" s="214"/>
      <c r="E933" s="214"/>
      <c r="F933" s="214"/>
      <c r="G933" s="214"/>
    </row>
    <row r="934" spans="1:7" s="251" customFormat="1">
      <c r="A934" s="250"/>
      <c r="B934" s="213"/>
      <c r="C934" s="214"/>
      <c r="D934" s="214"/>
      <c r="E934" s="214"/>
      <c r="F934" s="214"/>
      <c r="G934" s="214"/>
    </row>
    <row r="935" spans="1:7" s="251" customFormat="1">
      <c r="A935" s="250"/>
      <c r="B935" s="213"/>
      <c r="C935" s="214"/>
      <c r="D935" s="214"/>
      <c r="E935" s="214"/>
      <c r="F935" s="214"/>
      <c r="G935" s="214"/>
    </row>
    <row r="936" spans="1:7" s="251" customFormat="1">
      <c r="A936" s="250"/>
      <c r="B936" s="213"/>
      <c r="C936" s="214"/>
      <c r="D936" s="214"/>
      <c r="E936" s="214"/>
      <c r="F936" s="214"/>
      <c r="G936" s="214"/>
    </row>
    <row r="937" spans="1:7" s="251" customFormat="1">
      <c r="A937" s="250"/>
      <c r="B937" s="213"/>
      <c r="C937" s="214"/>
      <c r="D937" s="214"/>
      <c r="E937" s="214"/>
      <c r="F937" s="214"/>
      <c r="G937" s="214"/>
    </row>
    <row r="938" spans="1:7" s="251" customFormat="1">
      <c r="A938" s="250"/>
      <c r="B938" s="213"/>
      <c r="C938" s="214"/>
      <c r="D938" s="214"/>
      <c r="E938" s="214"/>
      <c r="F938" s="214"/>
      <c r="G938" s="214"/>
    </row>
    <row r="939" spans="1:7" s="251" customFormat="1">
      <c r="A939" s="250"/>
      <c r="B939" s="213"/>
      <c r="C939" s="214"/>
      <c r="D939" s="214"/>
      <c r="E939" s="214"/>
      <c r="F939" s="214"/>
      <c r="G939" s="214"/>
    </row>
    <row r="940" spans="1:7" s="251" customFormat="1">
      <c r="A940" s="250"/>
      <c r="B940" s="213"/>
      <c r="C940" s="214"/>
      <c r="D940" s="214"/>
      <c r="E940" s="214"/>
      <c r="F940" s="214"/>
      <c r="G940" s="214"/>
    </row>
    <row r="941" spans="1:7" s="251" customFormat="1">
      <c r="A941" s="250"/>
      <c r="B941" s="213"/>
      <c r="C941" s="214"/>
      <c r="D941" s="214"/>
      <c r="E941" s="214"/>
      <c r="F941" s="214"/>
      <c r="G941" s="214"/>
    </row>
    <row r="942" spans="1:7" s="251" customFormat="1">
      <c r="A942" s="250"/>
      <c r="B942" s="213"/>
      <c r="C942" s="214"/>
      <c r="D942" s="214"/>
      <c r="E942" s="214"/>
      <c r="F942" s="214"/>
      <c r="G942" s="214"/>
    </row>
    <row r="943" spans="1:7" s="251" customFormat="1">
      <c r="A943" s="250"/>
      <c r="B943" s="213"/>
      <c r="C943" s="214"/>
      <c r="D943" s="214"/>
      <c r="E943" s="214"/>
      <c r="F943" s="214"/>
      <c r="G943" s="214"/>
    </row>
    <row r="944" spans="1:7" s="251" customFormat="1">
      <c r="A944" s="250"/>
      <c r="B944" s="213"/>
      <c r="C944" s="214"/>
      <c r="D944" s="214"/>
      <c r="E944" s="214"/>
      <c r="F944" s="214"/>
      <c r="G944" s="214"/>
    </row>
    <row r="945" spans="1:7" s="251" customFormat="1">
      <c r="A945" s="250"/>
      <c r="B945" s="213"/>
      <c r="C945" s="214"/>
      <c r="D945" s="214"/>
      <c r="E945" s="214"/>
      <c r="F945" s="214"/>
      <c r="G945" s="214"/>
    </row>
    <row r="946" spans="1:7" s="251" customFormat="1">
      <c r="A946" s="250"/>
      <c r="B946" s="213"/>
      <c r="C946" s="214"/>
      <c r="D946" s="214"/>
      <c r="E946" s="214"/>
      <c r="F946" s="214"/>
      <c r="G946" s="214"/>
    </row>
    <row r="947" spans="1:7" s="251" customFormat="1">
      <c r="A947" s="250"/>
      <c r="B947" s="213"/>
      <c r="C947" s="214"/>
      <c r="D947" s="214"/>
      <c r="E947" s="214"/>
      <c r="F947" s="214"/>
      <c r="G947" s="214"/>
    </row>
    <row r="948" spans="1:7" s="251" customFormat="1">
      <c r="A948" s="250"/>
      <c r="B948" s="213"/>
      <c r="C948" s="214"/>
      <c r="D948" s="214"/>
      <c r="E948" s="214"/>
      <c r="F948" s="214"/>
      <c r="G948" s="214"/>
    </row>
    <row r="949" spans="1:7" s="251" customFormat="1">
      <c r="A949" s="250"/>
      <c r="B949" s="213"/>
      <c r="C949" s="214"/>
      <c r="D949" s="214"/>
      <c r="E949" s="214"/>
      <c r="F949" s="214"/>
      <c r="G949" s="214"/>
    </row>
    <row r="950" spans="1:7" s="251" customFormat="1">
      <c r="A950" s="250"/>
      <c r="B950" s="213"/>
      <c r="C950" s="214"/>
      <c r="D950" s="214"/>
      <c r="E950" s="214"/>
      <c r="F950" s="214"/>
      <c r="G950" s="214"/>
    </row>
    <row r="951" spans="1:7" s="251" customFormat="1">
      <c r="A951" s="250"/>
      <c r="B951" s="213"/>
      <c r="C951" s="214"/>
      <c r="D951" s="214"/>
      <c r="E951" s="214"/>
      <c r="F951" s="214"/>
      <c r="G951" s="214"/>
    </row>
    <row r="952" spans="1:7" s="251" customFormat="1">
      <c r="A952" s="250"/>
      <c r="B952" s="213"/>
      <c r="C952" s="214"/>
      <c r="D952" s="214"/>
      <c r="E952" s="214"/>
      <c r="F952" s="214"/>
      <c r="G952" s="214"/>
    </row>
    <row r="953" spans="1:7" s="251" customFormat="1">
      <c r="A953" s="250"/>
      <c r="B953" s="213"/>
      <c r="C953" s="214"/>
      <c r="D953" s="214"/>
      <c r="E953" s="214"/>
      <c r="F953" s="214"/>
      <c r="G953" s="214"/>
    </row>
    <row r="954" spans="1:7" s="251" customFormat="1">
      <c r="A954" s="250"/>
      <c r="B954" s="213"/>
      <c r="C954" s="214"/>
      <c r="D954" s="214"/>
      <c r="E954" s="214"/>
      <c r="F954" s="214"/>
      <c r="G954" s="214"/>
    </row>
    <row r="955" spans="1:7" s="251" customFormat="1">
      <c r="A955" s="250"/>
      <c r="B955" s="213"/>
      <c r="C955" s="214"/>
      <c r="D955" s="214"/>
      <c r="E955" s="214"/>
      <c r="F955" s="214"/>
      <c r="G955" s="214"/>
    </row>
    <row r="956" spans="1:7" s="251" customFormat="1">
      <c r="A956" s="250"/>
      <c r="B956" s="213"/>
      <c r="C956" s="214"/>
      <c r="D956" s="214"/>
      <c r="E956" s="214"/>
      <c r="F956" s="214"/>
      <c r="G956" s="214"/>
    </row>
    <row r="957" spans="1:7" s="251" customFormat="1">
      <c r="A957" s="250"/>
      <c r="B957" s="213"/>
      <c r="C957" s="214"/>
      <c r="D957" s="214"/>
      <c r="E957" s="214"/>
      <c r="F957" s="214"/>
      <c r="G957" s="214"/>
    </row>
    <row r="958" spans="1:7" s="251" customFormat="1">
      <c r="A958" s="250"/>
      <c r="B958" s="213"/>
      <c r="C958" s="214"/>
      <c r="D958" s="214"/>
      <c r="E958" s="214"/>
      <c r="F958" s="214"/>
      <c r="G958" s="214"/>
    </row>
    <row r="959" spans="1:7" s="251" customFormat="1">
      <c r="A959" s="250"/>
      <c r="B959" s="213"/>
      <c r="C959" s="214"/>
      <c r="D959" s="214"/>
      <c r="E959" s="214"/>
      <c r="F959" s="214"/>
      <c r="G959" s="214"/>
    </row>
    <row r="960" spans="1:7" s="251" customFormat="1">
      <c r="A960" s="250"/>
      <c r="B960" s="213"/>
      <c r="C960" s="214"/>
      <c r="D960" s="214"/>
      <c r="E960" s="214"/>
      <c r="F960" s="214"/>
      <c r="G960" s="214"/>
    </row>
    <row r="961" spans="1:7" s="251" customFormat="1">
      <c r="A961" s="250"/>
      <c r="B961" s="213"/>
      <c r="C961" s="214"/>
      <c r="D961" s="214"/>
      <c r="E961" s="214"/>
      <c r="F961" s="214"/>
      <c r="G961" s="214"/>
    </row>
    <row r="962" spans="1:7" s="251" customFormat="1">
      <c r="A962" s="250"/>
      <c r="B962" s="213"/>
      <c r="C962" s="214"/>
      <c r="D962" s="214"/>
      <c r="E962" s="214"/>
      <c r="F962" s="214"/>
      <c r="G962" s="214"/>
    </row>
    <row r="963" spans="1:7" s="251" customFormat="1">
      <c r="A963" s="250"/>
      <c r="B963" s="213"/>
      <c r="C963" s="214"/>
      <c r="D963" s="214"/>
      <c r="E963" s="214"/>
      <c r="F963" s="214"/>
      <c r="G963" s="214"/>
    </row>
    <row r="964" spans="1:7" s="251" customFormat="1">
      <c r="A964" s="250"/>
      <c r="B964" s="213"/>
      <c r="C964" s="214"/>
      <c r="D964" s="214"/>
      <c r="E964" s="214"/>
      <c r="F964" s="214"/>
      <c r="G964" s="214"/>
    </row>
    <row r="965" spans="1:7" s="251" customFormat="1">
      <c r="A965" s="250"/>
      <c r="B965" s="213"/>
      <c r="C965" s="214"/>
      <c r="D965" s="214"/>
      <c r="E965" s="214"/>
      <c r="F965" s="214"/>
      <c r="G965" s="214"/>
    </row>
    <row r="966" spans="1:7" s="251" customFormat="1">
      <c r="A966" s="250"/>
      <c r="B966" s="213"/>
      <c r="C966" s="214"/>
      <c r="D966" s="214"/>
      <c r="E966" s="214"/>
      <c r="F966" s="214"/>
      <c r="G966" s="214"/>
    </row>
    <row r="967" spans="1:7" s="251" customFormat="1">
      <c r="A967" s="250"/>
      <c r="B967" s="213"/>
      <c r="C967" s="214"/>
      <c r="D967" s="214"/>
      <c r="E967" s="214"/>
      <c r="F967" s="214"/>
      <c r="G967" s="214"/>
    </row>
    <row r="968" spans="1:7" s="251" customFormat="1">
      <c r="A968" s="250"/>
      <c r="B968" s="213"/>
      <c r="C968" s="214"/>
      <c r="D968" s="214"/>
      <c r="E968" s="214"/>
      <c r="F968" s="214"/>
      <c r="G968" s="214"/>
    </row>
    <row r="969" spans="1:7" s="251" customFormat="1">
      <c r="A969" s="250"/>
      <c r="B969" s="213"/>
      <c r="C969" s="214"/>
      <c r="D969" s="214"/>
      <c r="E969" s="214"/>
      <c r="F969" s="214"/>
      <c r="G969" s="214"/>
    </row>
    <row r="970" spans="1:7" s="251" customFormat="1">
      <c r="A970" s="250"/>
      <c r="B970" s="213"/>
      <c r="C970" s="214"/>
      <c r="D970" s="214"/>
      <c r="E970" s="214"/>
      <c r="F970" s="214"/>
      <c r="G970" s="214"/>
    </row>
    <row r="971" spans="1:7" s="251" customFormat="1">
      <c r="A971" s="250"/>
      <c r="B971" s="213"/>
      <c r="C971" s="214"/>
      <c r="D971" s="214"/>
      <c r="E971" s="214"/>
      <c r="F971" s="214"/>
      <c r="G971" s="214"/>
    </row>
    <row r="972" spans="1:7" s="251" customFormat="1">
      <c r="A972" s="250"/>
      <c r="B972" s="213"/>
      <c r="C972" s="214"/>
      <c r="D972" s="214"/>
      <c r="E972" s="214"/>
      <c r="F972" s="214"/>
      <c r="G972" s="214"/>
    </row>
    <row r="973" spans="1:7" s="251" customFormat="1">
      <c r="A973" s="250"/>
      <c r="B973" s="213"/>
      <c r="C973" s="214"/>
      <c r="D973" s="214"/>
      <c r="E973" s="214"/>
      <c r="F973" s="214"/>
      <c r="G973" s="214"/>
    </row>
    <row r="974" spans="1:7" s="251" customFormat="1">
      <c r="A974" s="250"/>
      <c r="B974" s="213"/>
      <c r="C974" s="214"/>
      <c r="D974" s="214"/>
      <c r="E974" s="214"/>
      <c r="F974" s="214"/>
      <c r="G974" s="214"/>
    </row>
    <row r="975" spans="1:7" s="251" customFormat="1">
      <c r="A975" s="250"/>
      <c r="B975" s="213"/>
      <c r="C975" s="214"/>
      <c r="D975" s="214"/>
      <c r="E975" s="214"/>
      <c r="F975" s="214"/>
      <c r="G975" s="214"/>
    </row>
    <row r="976" spans="1:7" s="251" customFormat="1">
      <c r="A976" s="250"/>
      <c r="B976" s="213"/>
      <c r="C976" s="214"/>
      <c r="D976" s="214"/>
      <c r="E976" s="214"/>
      <c r="F976" s="214"/>
      <c r="G976" s="214"/>
    </row>
    <row r="977" spans="1:7" s="251" customFormat="1">
      <c r="A977" s="250"/>
      <c r="B977" s="213"/>
      <c r="C977" s="214"/>
      <c r="D977" s="214"/>
      <c r="E977" s="214"/>
      <c r="F977" s="214"/>
      <c r="G977" s="214"/>
    </row>
    <row r="978" spans="1:7" s="251" customFormat="1">
      <c r="A978" s="250"/>
      <c r="B978" s="213"/>
      <c r="C978" s="214"/>
      <c r="D978" s="214"/>
      <c r="E978" s="214"/>
      <c r="F978" s="214"/>
      <c r="G978" s="214"/>
    </row>
    <row r="979" spans="1:7" s="251" customFormat="1">
      <c r="A979" s="250"/>
      <c r="B979" s="213"/>
      <c r="C979" s="214"/>
      <c r="D979" s="214"/>
      <c r="E979" s="214"/>
      <c r="F979" s="214"/>
      <c r="G979" s="214"/>
    </row>
    <row r="980" spans="1:7" s="251" customFormat="1">
      <c r="A980" s="250"/>
      <c r="B980" s="213"/>
      <c r="C980" s="214"/>
      <c r="D980" s="214"/>
      <c r="E980" s="214"/>
      <c r="F980" s="214"/>
      <c r="G980" s="214"/>
    </row>
    <row r="981" spans="1:7" s="251" customFormat="1">
      <c r="A981" s="250"/>
      <c r="B981" s="213"/>
      <c r="C981" s="214"/>
      <c r="D981" s="214"/>
      <c r="E981" s="214"/>
      <c r="F981" s="214"/>
      <c r="G981" s="214"/>
    </row>
    <row r="982" spans="1:7" s="251" customFormat="1">
      <c r="A982" s="250"/>
      <c r="B982" s="213"/>
      <c r="C982" s="214"/>
      <c r="D982" s="214"/>
      <c r="E982" s="214"/>
      <c r="F982" s="214"/>
      <c r="G982" s="214"/>
    </row>
    <row r="983" spans="1:7" s="251" customFormat="1">
      <c r="A983" s="250"/>
      <c r="B983" s="213"/>
      <c r="C983" s="214"/>
      <c r="D983" s="214"/>
      <c r="E983" s="214"/>
      <c r="F983" s="214"/>
      <c r="G983" s="214"/>
    </row>
    <row r="984" spans="1:7" s="251" customFormat="1">
      <c r="A984" s="250"/>
      <c r="B984" s="213"/>
      <c r="C984" s="214"/>
      <c r="D984" s="214"/>
      <c r="E984" s="214"/>
      <c r="F984" s="214"/>
      <c r="G984" s="214"/>
    </row>
    <row r="985" spans="1:7" s="251" customFormat="1">
      <c r="A985" s="250"/>
      <c r="B985" s="213"/>
      <c r="C985" s="214"/>
      <c r="D985" s="214"/>
      <c r="E985" s="214"/>
      <c r="F985" s="214"/>
      <c r="G985" s="214"/>
    </row>
    <row r="986" spans="1:7" s="251" customFormat="1">
      <c r="A986" s="250"/>
      <c r="B986" s="213"/>
      <c r="C986" s="214"/>
      <c r="D986" s="214"/>
      <c r="E986" s="214"/>
      <c r="F986" s="214"/>
      <c r="G986" s="214"/>
    </row>
    <row r="987" spans="1:7" s="251" customFormat="1">
      <c r="A987" s="250"/>
      <c r="B987" s="213"/>
      <c r="C987" s="214"/>
      <c r="D987" s="214"/>
      <c r="E987" s="214"/>
      <c r="F987" s="214"/>
      <c r="G987" s="214"/>
    </row>
    <row r="988" spans="1:7" s="251" customFormat="1">
      <c r="A988" s="250"/>
      <c r="B988" s="213"/>
      <c r="C988" s="214"/>
      <c r="D988" s="214"/>
      <c r="E988" s="214"/>
      <c r="F988" s="214"/>
      <c r="G988" s="214"/>
    </row>
    <row r="989" spans="1:7" s="251" customFormat="1">
      <c r="A989" s="250"/>
      <c r="B989" s="213"/>
      <c r="C989" s="214"/>
      <c r="D989" s="214"/>
      <c r="E989" s="214"/>
      <c r="F989" s="214"/>
      <c r="G989" s="214"/>
    </row>
    <row r="990" spans="1:7" s="251" customFormat="1">
      <c r="A990" s="250"/>
      <c r="B990" s="213"/>
      <c r="C990" s="214"/>
      <c r="D990" s="214"/>
      <c r="E990" s="214"/>
      <c r="F990" s="214"/>
      <c r="G990" s="214"/>
    </row>
    <row r="991" spans="1:7" s="251" customFormat="1">
      <c r="A991" s="250"/>
      <c r="B991" s="213"/>
      <c r="C991" s="214"/>
      <c r="D991" s="214"/>
      <c r="E991" s="214"/>
      <c r="F991" s="214"/>
      <c r="G991" s="214"/>
    </row>
    <row r="992" spans="1:7" s="251" customFormat="1">
      <c r="A992" s="250"/>
      <c r="B992" s="213"/>
      <c r="C992" s="214"/>
      <c r="D992" s="214"/>
      <c r="E992" s="214"/>
      <c r="F992" s="214"/>
      <c r="G992" s="214"/>
    </row>
    <row r="993" spans="1:7" s="251" customFormat="1">
      <c r="A993" s="250"/>
      <c r="B993" s="213"/>
      <c r="C993" s="214"/>
      <c r="D993" s="214"/>
      <c r="E993" s="214"/>
      <c r="F993" s="214"/>
      <c r="G993" s="214"/>
    </row>
    <row r="994" spans="1:7" s="251" customFormat="1">
      <c r="A994" s="250"/>
      <c r="B994" s="213"/>
      <c r="C994" s="214"/>
      <c r="D994" s="214"/>
      <c r="E994" s="214"/>
      <c r="F994" s="214"/>
      <c r="G994" s="214"/>
    </row>
    <row r="995" spans="1:7" s="251" customFormat="1">
      <c r="A995" s="250"/>
      <c r="B995" s="213"/>
      <c r="C995" s="214"/>
      <c r="D995" s="214"/>
      <c r="E995" s="214"/>
      <c r="F995" s="214"/>
      <c r="G995" s="214"/>
    </row>
    <row r="996" spans="1:7" s="251" customFormat="1">
      <c r="A996" s="250"/>
      <c r="B996" s="213"/>
      <c r="C996" s="214"/>
      <c r="D996" s="214"/>
      <c r="E996" s="214"/>
      <c r="F996" s="214"/>
      <c r="G996" s="214"/>
    </row>
    <row r="997" spans="1:7" s="251" customFormat="1">
      <c r="A997" s="250"/>
      <c r="B997" s="213"/>
      <c r="C997" s="214"/>
      <c r="D997" s="214"/>
      <c r="E997" s="214"/>
      <c r="F997" s="214"/>
      <c r="G997" s="214"/>
    </row>
    <row r="998" spans="1:7" s="251" customFormat="1">
      <c r="A998" s="250"/>
      <c r="B998" s="213"/>
      <c r="C998" s="214"/>
      <c r="D998" s="214"/>
      <c r="E998" s="214"/>
      <c r="F998" s="214"/>
      <c r="G998" s="214"/>
    </row>
    <row r="999" spans="1:7" s="251" customFormat="1">
      <c r="A999" s="250"/>
      <c r="B999" s="213"/>
      <c r="C999" s="214"/>
      <c r="D999" s="214"/>
      <c r="E999" s="214"/>
      <c r="F999" s="214"/>
      <c r="G999" s="214"/>
    </row>
    <row r="1000" spans="1:7" s="251" customFormat="1">
      <c r="A1000" s="250"/>
      <c r="B1000" s="213"/>
      <c r="C1000" s="214"/>
      <c r="D1000" s="214"/>
      <c r="E1000" s="214"/>
      <c r="F1000" s="214"/>
      <c r="G1000" s="214"/>
    </row>
    <row r="1001" spans="1:7" s="251" customFormat="1">
      <c r="A1001" s="250"/>
      <c r="B1001" s="213"/>
      <c r="C1001" s="214"/>
      <c r="D1001" s="214"/>
      <c r="E1001" s="214"/>
      <c r="F1001" s="214"/>
      <c r="G1001" s="214"/>
    </row>
    <row r="1002" spans="1:7" s="251" customFormat="1">
      <c r="A1002" s="250"/>
      <c r="B1002" s="213"/>
      <c r="C1002" s="214"/>
      <c r="D1002" s="214"/>
      <c r="E1002" s="214"/>
      <c r="F1002" s="214"/>
      <c r="G1002" s="214"/>
    </row>
    <row r="1003" spans="1:7" s="251" customFormat="1">
      <c r="A1003" s="250"/>
      <c r="B1003" s="213"/>
      <c r="C1003" s="214"/>
      <c r="D1003" s="214"/>
      <c r="E1003" s="214"/>
      <c r="F1003" s="214"/>
      <c r="G1003" s="214"/>
    </row>
    <row r="1004" spans="1:7" s="251" customFormat="1">
      <c r="A1004" s="250"/>
      <c r="B1004" s="213"/>
      <c r="C1004" s="214"/>
      <c r="D1004" s="214"/>
      <c r="E1004" s="214"/>
      <c r="F1004" s="214"/>
      <c r="G1004" s="214"/>
    </row>
    <row r="1005" spans="1:7" s="251" customFormat="1">
      <c r="A1005" s="250"/>
      <c r="B1005" s="213"/>
      <c r="C1005" s="214"/>
      <c r="D1005" s="214"/>
      <c r="E1005" s="214"/>
      <c r="F1005" s="214"/>
      <c r="G1005" s="214"/>
    </row>
    <row r="1006" spans="1:7" s="251" customFormat="1">
      <c r="A1006" s="250"/>
      <c r="B1006" s="213"/>
      <c r="C1006" s="214"/>
      <c r="D1006" s="214"/>
      <c r="E1006" s="214"/>
      <c r="F1006" s="214"/>
      <c r="G1006" s="214"/>
    </row>
    <row r="1007" spans="1:7" s="251" customFormat="1">
      <c r="A1007" s="250"/>
      <c r="B1007" s="213"/>
      <c r="C1007" s="214"/>
      <c r="D1007" s="214"/>
      <c r="E1007" s="214"/>
      <c r="F1007" s="214"/>
      <c r="G1007" s="214"/>
    </row>
    <row r="1008" spans="1:7" s="251" customFormat="1">
      <c r="A1008" s="250"/>
      <c r="B1008" s="213"/>
      <c r="C1008" s="214"/>
      <c r="D1008" s="214"/>
      <c r="E1008" s="214"/>
      <c r="F1008" s="214"/>
      <c r="G1008" s="214"/>
    </row>
    <row r="1009" spans="1:7" s="251" customFormat="1">
      <c r="A1009" s="250"/>
      <c r="B1009" s="213"/>
      <c r="C1009" s="214"/>
      <c r="D1009" s="214"/>
      <c r="E1009" s="214"/>
      <c r="F1009" s="214"/>
      <c r="G1009" s="214"/>
    </row>
    <row r="1010" spans="1:7" s="251" customFormat="1">
      <c r="A1010" s="250"/>
      <c r="B1010" s="213"/>
      <c r="C1010" s="214"/>
      <c r="D1010" s="214"/>
      <c r="E1010" s="214"/>
      <c r="F1010" s="214"/>
      <c r="G1010" s="214"/>
    </row>
    <row r="1011" spans="1:7" s="251" customFormat="1">
      <c r="A1011" s="250"/>
      <c r="B1011" s="213"/>
      <c r="C1011" s="214"/>
      <c r="D1011" s="214"/>
      <c r="E1011" s="214"/>
      <c r="F1011" s="214"/>
      <c r="G1011" s="214"/>
    </row>
    <row r="1012" spans="1:7" s="251" customFormat="1">
      <c r="A1012" s="250"/>
      <c r="B1012" s="213"/>
      <c r="C1012" s="214"/>
      <c r="D1012" s="214"/>
      <c r="E1012" s="214"/>
      <c r="F1012" s="214"/>
      <c r="G1012" s="214"/>
    </row>
    <row r="1013" spans="1:7" s="251" customFormat="1">
      <c r="A1013" s="250"/>
      <c r="B1013" s="213"/>
      <c r="C1013" s="214"/>
      <c r="D1013" s="214"/>
      <c r="E1013" s="214"/>
      <c r="F1013" s="214"/>
      <c r="G1013" s="214"/>
    </row>
    <row r="1014" spans="1:7" s="251" customFormat="1">
      <c r="A1014" s="250"/>
      <c r="B1014" s="213"/>
      <c r="C1014" s="214"/>
      <c r="D1014" s="214"/>
      <c r="E1014" s="214"/>
      <c r="F1014" s="214"/>
      <c r="G1014" s="214"/>
    </row>
    <row r="1015" spans="1:7" s="251" customFormat="1">
      <c r="A1015" s="250"/>
      <c r="B1015" s="213"/>
      <c r="C1015" s="214"/>
      <c r="D1015" s="214"/>
      <c r="E1015" s="214"/>
      <c r="F1015" s="214"/>
      <c r="G1015" s="214"/>
    </row>
    <row r="1016" spans="1:7" s="251" customFormat="1">
      <c r="A1016" s="250"/>
      <c r="B1016" s="213"/>
      <c r="C1016" s="214"/>
      <c r="D1016" s="214"/>
      <c r="E1016" s="214"/>
      <c r="F1016" s="214"/>
      <c r="G1016" s="214"/>
    </row>
    <row r="1017" spans="1:7" s="251" customFormat="1">
      <c r="A1017" s="250"/>
      <c r="B1017" s="213"/>
      <c r="C1017" s="214"/>
      <c r="D1017" s="214"/>
      <c r="E1017" s="214"/>
      <c r="F1017" s="214"/>
      <c r="G1017" s="214"/>
    </row>
    <row r="1018" spans="1:7" s="251" customFormat="1">
      <c r="A1018" s="250"/>
      <c r="B1018" s="213"/>
      <c r="C1018" s="214"/>
      <c r="D1018" s="214"/>
      <c r="E1018" s="214"/>
      <c r="F1018" s="214"/>
      <c r="G1018" s="214"/>
    </row>
    <row r="1019" spans="1:7" s="251" customFormat="1">
      <c r="A1019" s="250"/>
      <c r="B1019" s="213"/>
      <c r="C1019" s="214"/>
      <c r="D1019" s="214"/>
      <c r="E1019" s="214"/>
      <c r="F1019" s="214"/>
      <c r="G1019" s="214"/>
    </row>
    <row r="1020" spans="1:7" s="251" customFormat="1">
      <c r="A1020" s="250"/>
      <c r="B1020" s="213"/>
      <c r="C1020" s="214"/>
      <c r="D1020" s="214"/>
      <c r="E1020" s="214"/>
      <c r="F1020" s="214"/>
      <c r="G1020" s="214"/>
    </row>
    <row r="1021" spans="1:7" s="251" customFormat="1">
      <c r="A1021" s="250"/>
      <c r="B1021" s="213"/>
      <c r="C1021" s="214"/>
      <c r="D1021" s="214"/>
      <c r="E1021" s="214"/>
      <c r="F1021" s="214"/>
      <c r="G1021" s="214"/>
    </row>
    <row r="1022" spans="1:7" s="251" customFormat="1">
      <c r="A1022" s="250"/>
      <c r="B1022" s="213"/>
      <c r="C1022" s="214"/>
      <c r="D1022" s="214"/>
      <c r="E1022" s="214"/>
      <c r="F1022" s="214"/>
      <c r="G1022" s="214"/>
    </row>
    <row r="1023" spans="1:7" s="251" customFormat="1">
      <c r="A1023" s="250"/>
      <c r="B1023" s="213"/>
      <c r="C1023" s="214"/>
      <c r="D1023" s="214"/>
      <c r="E1023" s="214"/>
      <c r="F1023" s="214"/>
      <c r="G1023" s="214"/>
    </row>
    <row r="1024" spans="1:7" s="251" customFormat="1">
      <c r="A1024" s="250"/>
      <c r="B1024" s="213"/>
      <c r="C1024" s="214"/>
      <c r="D1024" s="214"/>
      <c r="E1024" s="214"/>
      <c r="F1024" s="214"/>
      <c r="G1024" s="214"/>
    </row>
    <row r="1025" spans="1:7" s="251" customFormat="1">
      <c r="A1025" s="250"/>
      <c r="B1025" s="213"/>
      <c r="C1025" s="214"/>
      <c r="D1025" s="214"/>
      <c r="E1025" s="214"/>
      <c r="F1025" s="214"/>
      <c r="G1025" s="214"/>
    </row>
    <row r="1026" spans="1:7" s="251" customFormat="1">
      <c r="A1026" s="250"/>
      <c r="B1026" s="213"/>
      <c r="C1026" s="214"/>
      <c r="D1026" s="214"/>
      <c r="E1026" s="214"/>
      <c r="F1026" s="214"/>
      <c r="G1026" s="214"/>
    </row>
    <row r="1027" spans="1:7" s="251" customFormat="1">
      <c r="A1027" s="250"/>
      <c r="B1027" s="213"/>
      <c r="C1027" s="214"/>
      <c r="D1027" s="214"/>
      <c r="E1027" s="214"/>
      <c r="F1027" s="214"/>
      <c r="G1027" s="214"/>
    </row>
    <row r="1028" spans="1:7" s="251" customFormat="1">
      <c r="A1028" s="250"/>
      <c r="B1028" s="213"/>
      <c r="C1028" s="214"/>
      <c r="D1028" s="214"/>
      <c r="E1028" s="214"/>
      <c r="F1028" s="214"/>
      <c r="G1028" s="214"/>
    </row>
    <row r="1029" spans="1:7" s="251" customFormat="1">
      <c r="A1029" s="250"/>
      <c r="B1029" s="213"/>
      <c r="C1029" s="214"/>
      <c r="D1029" s="214"/>
      <c r="E1029" s="214"/>
      <c r="F1029" s="214"/>
      <c r="G1029" s="214"/>
    </row>
    <row r="1030" spans="1:7" s="251" customFormat="1">
      <c r="A1030" s="250"/>
      <c r="B1030" s="213"/>
      <c r="C1030" s="214"/>
      <c r="D1030" s="214"/>
      <c r="E1030" s="214"/>
      <c r="F1030" s="214"/>
      <c r="G1030" s="214"/>
    </row>
    <row r="1031" spans="1:7" s="251" customFormat="1">
      <c r="A1031" s="250"/>
      <c r="B1031" s="213"/>
      <c r="C1031" s="214"/>
      <c r="D1031" s="214"/>
      <c r="E1031" s="214"/>
      <c r="F1031" s="214"/>
      <c r="G1031" s="214"/>
    </row>
    <row r="1032" spans="1:7" s="251" customFormat="1">
      <c r="A1032" s="250"/>
      <c r="B1032" s="213"/>
      <c r="C1032" s="214"/>
      <c r="D1032" s="214"/>
      <c r="E1032" s="214"/>
      <c r="F1032" s="214"/>
      <c r="G1032" s="214"/>
    </row>
    <row r="1033" spans="1:7" s="251" customFormat="1">
      <c r="A1033" s="250"/>
      <c r="B1033" s="213"/>
      <c r="C1033" s="214"/>
      <c r="D1033" s="214"/>
      <c r="E1033" s="214"/>
      <c r="F1033" s="214"/>
      <c r="G1033" s="214"/>
    </row>
    <row r="1034" spans="1:7" s="251" customFormat="1">
      <c r="A1034" s="250"/>
      <c r="B1034" s="213"/>
      <c r="C1034" s="214"/>
      <c r="D1034" s="214"/>
      <c r="E1034" s="214"/>
      <c r="F1034" s="214"/>
      <c r="G1034" s="214"/>
    </row>
    <row r="1035" spans="1:7" s="251" customFormat="1">
      <c r="A1035" s="250"/>
      <c r="B1035" s="213"/>
      <c r="C1035" s="214"/>
      <c r="D1035" s="214"/>
      <c r="E1035" s="214"/>
      <c r="F1035" s="214"/>
      <c r="G1035" s="214"/>
    </row>
    <row r="1036" spans="1:7" s="251" customFormat="1">
      <c r="A1036" s="250"/>
      <c r="B1036" s="213"/>
      <c r="C1036" s="214"/>
      <c r="D1036" s="214"/>
      <c r="E1036" s="214"/>
      <c r="F1036" s="214"/>
      <c r="G1036" s="214"/>
    </row>
    <row r="1037" spans="1:7" s="251" customFormat="1">
      <c r="A1037" s="250"/>
      <c r="B1037" s="213"/>
      <c r="C1037" s="214"/>
      <c r="D1037" s="214"/>
      <c r="E1037" s="214"/>
      <c r="F1037" s="214"/>
      <c r="G1037" s="214"/>
    </row>
    <row r="1038" spans="1:7" s="251" customFormat="1">
      <c r="A1038" s="250"/>
      <c r="B1038" s="213"/>
      <c r="C1038" s="214"/>
      <c r="D1038" s="214"/>
      <c r="E1038" s="214"/>
      <c r="F1038" s="214"/>
      <c r="G1038" s="214"/>
    </row>
    <row r="1039" spans="1:7" s="251" customFormat="1">
      <c r="A1039" s="250"/>
      <c r="B1039" s="213"/>
      <c r="C1039" s="214"/>
      <c r="D1039" s="214"/>
      <c r="E1039" s="214"/>
      <c r="F1039" s="214"/>
      <c r="G1039" s="214"/>
    </row>
    <row r="1040" spans="1:7" s="251" customFormat="1">
      <c r="A1040" s="250"/>
      <c r="B1040" s="213"/>
      <c r="C1040" s="214"/>
      <c r="D1040" s="214"/>
      <c r="E1040" s="214"/>
      <c r="F1040" s="214"/>
      <c r="G1040" s="214"/>
    </row>
    <row r="1041" spans="1:7" s="251" customFormat="1">
      <c r="A1041" s="250"/>
      <c r="B1041" s="213"/>
      <c r="C1041" s="214"/>
      <c r="D1041" s="214"/>
      <c r="E1041" s="214"/>
      <c r="F1041" s="214"/>
      <c r="G1041" s="214"/>
    </row>
    <row r="1042" spans="1:7" s="251" customFormat="1">
      <c r="A1042" s="250"/>
      <c r="B1042" s="213"/>
      <c r="C1042" s="214"/>
      <c r="D1042" s="214"/>
      <c r="E1042" s="214"/>
      <c r="F1042" s="214"/>
      <c r="G1042" s="214"/>
    </row>
    <row r="1043" spans="1:7" s="251" customFormat="1">
      <c r="A1043" s="250"/>
      <c r="B1043" s="213"/>
      <c r="C1043" s="214"/>
      <c r="D1043" s="214"/>
      <c r="E1043" s="214"/>
      <c r="F1043" s="214"/>
      <c r="G1043" s="214"/>
    </row>
    <row r="1044" spans="1:7" s="251" customFormat="1">
      <c r="A1044" s="250"/>
      <c r="B1044" s="213"/>
      <c r="C1044" s="214"/>
      <c r="D1044" s="214"/>
      <c r="E1044" s="214"/>
      <c r="F1044" s="214"/>
      <c r="G1044" s="214"/>
    </row>
    <row r="1045" spans="1:7" s="251" customFormat="1">
      <c r="A1045" s="250"/>
      <c r="B1045" s="213"/>
      <c r="C1045" s="214"/>
      <c r="D1045" s="214"/>
      <c r="E1045" s="214"/>
      <c r="F1045" s="214"/>
      <c r="G1045" s="214"/>
    </row>
    <row r="1046" spans="1:7" s="251" customFormat="1">
      <c r="A1046" s="250"/>
      <c r="B1046" s="213"/>
      <c r="C1046" s="214"/>
      <c r="D1046" s="214"/>
      <c r="E1046" s="214"/>
      <c r="F1046" s="214"/>
      <c r="G1046" s="214"/>
    </row>
    <row r="1047" spans="1:7" s="251" customFormat="1">
      <c r="A1047" s="250"/>
      <c r="B1047" s="213"/>
      <c r="C1047" s="214"/>
      <c r="D1047" s="214"/>
      <c r="E1047" s="214"/>
      <c r="F1047" s="214"/>
      <c r="G1047" s="214"/>
    </row>
    <row r="1048" spans="1:7" s="251" customFormat="1">
      <c r="A1048" s="250"/>
      <c r="B1048" s="213"/>
      <c r="C1048" s="214"/>
      <c r="D1048" s="214"/>
      <c r="E1048" s="214"/>
      <c r="F1048" s="214"/>
      <c r="G1048" s="214"/>
    </row>
    <row r="1049" spans="1:7" s="251" customFormat="1">
      <c r="A1049" s="250"/>
      <c r="B1049" s="213"/>
      <c r="C1049" s="214"/>
      <c r="D1049" s="214"/>
      <c r="E1049" s="214"/>
      <c r="F1049" s="214"/>
      <c r="G1049" s="214"/>
    </row>
    <row r="1050" spans="1:7" s="251" customFormat="1">
      <c r="A1050" s="250"/>
      <c r="B1050" s="213"/>
      <c r="C1050" s="214"/>
      <c r="D1050" s="214"/>
      <c r="E1050" s="214"/>
      <c r="F1050" s="214"/>
      <c r="G1050" s="214"/>
    </row>
    <row r="1051" spans="1:7" s="251" customFormat="1">
      <c r="A1051" s="250"/>
      <c r="B1051" s="213"/>
      <c r="C1051" s="214"/>
      <c r="D1051" s="214"/>
      <c r="E1051" s="214"/>
      <c r="F1051" s="214"/>
      <c r="G1051" s="214"/>
    </row>
    <row r="1052" spans="1:7" s="251" customFormat="1">
      <c r="A1052" s="250"/>
      <c r="B1052" s="213"/>
      <c r="C1052" s="214"/>
      <c r="D1052" s="214"/>
      <c r="E1052" s="214"/>
      <c r="F1052" s="214"/>
      <c r="G1052" s="214"/>
    </row>
    <row r="1053" spans="1:7" s="251" customFormat="1">
      <c r="A1053" s="250"/>
      <c r="B1053" s="213"/>
      <c r="C1053" s="214"/>
      <c r="D1053" s="214"/>
      <c r="E1053" s="214"/>
      <c r="F1053" s="214"/>
      <c r="G1053" s="214"/>
    </row>
    <row r="1054" spans="1:7" s="251" customFormat="1">
      <c r="A1054" s="250"/>
      <c r="B1054" s="213"/>
      <c r="C1054" s="214"/>
      <c r="D1054" s="214"/>
      <c r="E1054" s="214"/>
      <c r="F1054" s="214"/>
      <c r="G1054" s="214"/>
    </row>
    <row r="1055" spans="1:7" s="251" customFormat="1">
      <c r="A1055" s="250"/>
      <c r="B1055" s="213"/>
      <c r="C1055" s="214"/>
      <c r="D1055" s="214"/>
      <c r="E1055" s="214"/>
      <c r="F1055" s="214"/>
      <c r="G1055" s="214"/>
    </row>
    <row r="1056" spans="1:7" s="251" customFormat="1">
      <c r="A1056" s="250"/>
      <c r="B1056" s="213"/>
      <c r="C1056" s="214"/>
      <c r="D1056" s="214"/>
      <c r="E1056" s="214"/>
      <c r="F1056" s="214"/>
      <c r="G1056" s="214"/>
    </row>
    <row r="1057" spans="1:7" s="251" customFormat="1">
      <c r="A1057" s="250"/>
      <c r="B1057" s="213"/>
      <c r="C1057" s="214"/>
      <c r="D1057" s="214"/>
      <c r="E1057" s="214"/>
      <c r="F1057" s="214"/>
      <c r="G1057" s="214"/>
    </row>
    <row r="1058" spans="1:7" s="251" customFormat="1">
      <c r="A1058" s="250"/>
      <c r="B1058" s="213"/>
      <c r="C1058" s="214"/>
      <c r="D1058" s="214"/>
      <c r="E1058" s="214"/>
      <c r="F1058" s="214"/>
      <c r="G1058" s="214"/>
    </row>
    <row r="1059" spans="1:7" s="251" customFormat="1">
      <c r="A1059" s="250"/>
      <c r="B1059" s="213"/>
      <c r="C1059" s="214"/>
      <c r="D1059" s="214"/>
      <c r="E1059" s="214"/>
      <c r="F1059" s="214"/>
      <c r="G1059" s="214"/>
    </row>
    <row r="1060" spans="1:7" s="251" customFormat="1">
      <c r="A1060" s="250"/>
      <c r="B1060" s="213"/>
      <c r="C1060" s="214"/>
      <c r="D1060" s="214"/>
      <c r="E1060" s="214"/>
      <c r="F1060" s="214"/>
      <c r="G1060" s="214"/>
    </row>
    <row r="1061" spans="1:7" s="251" customFormat="1">
      <c r="A1061" s="250"/>
      <c r="B1061" s="213"/>
      <c r="C1061" s="214"/>
      <c r="D1061" s="214"/>
      <c r="E1061" s="214"/>
      <c r="F1061" s="214"/>
      <c r="G1061" s="214"/>
    </row>
    <row r="1062" spans="1:7" s="251" customFormat="1">
      <c r="A1062" s="250"/>
      <c r="B1062" s="213"/>
      <c r="C1062" s="214"/>
      <c r="D1062" s="214"/>
      <c r="E1062" s="214"/>
      <c r="F1062" s="214"/>
      <c r="G1062" s="214"/>
    </row>
    <row r="1063" spans="1:7" s="251" customFormat="1">
      <c r="A1063" s="250"/>
      <c r="B1063" s="213"/>
      <c r="C1063" s="214"/>
      <c r="D1063" s="214"/>
      <c r="E1063" s="214"/>
      <c r="F1063" s="214"/>
      <c r="G1063" s="214"/>
    </row>
    <row r="1064" spans="1:7" s="251" customFormat="1">
      <c r="A1064" s="250"/>
      <c r="B1064" s="213"/>
      <c r="C1064" s="214"/>
      <c r="D1064" s="214"/>
      <c r="E1064" s="214"/>
      <c r="F1064" s="214"/>
      <c r="G1064" s="214"/>
    </row>
    <row r="1065" spans="1:7" s="251" customFormat="1">
      <c r="A1065" s="250"/>
      <c r="B1065" s="213"/>
      <c r="C1065" s="214"/>
      <c r="D1065" s="214"/>
      <c r="E1065" s="214"/>
      <c r="F1065" s="214"/>
      <c r="G1065" s="214"/>
    </row>
    <row r="1066" spans="1:7" s="251" customFormat="1">
      <c r="A1066" s="250"/>
      <c r="B1066" s="213"/>
      <c r="C1066" s="214"/>
      <c r="D1066" s="214"/>
      <c r="E1066" s="214"/>
      <c r="F1066" s="214"/>
      <c r="G1066" s="214"/>
    </row>
    <row r="1067" spans="1:7" s="251" customFormat="1">
      <c r="A1067" s="250"/>
      <c r="B1067" s="213"/>
      <c r="C1067" s="214"/>
      <c r="D1067" s="214"/>
      <c r="E1067" s="214"/>
      <c r="F1067" s="214"/>
      <c r="G1067" s="214"/>
    </row>
    <row r="1068" spans="1:7" s="251" customFormat="1">
      <c r="A1068" s="250"/>
      <c r="B1068" s="213"/>
      <c r="C1068" s="214"/>
      <c r="D1068" s="214"/>
      <c r="E1068" s="214"/>
      <c r="F1068" s="214"/>
      <c r="G1068" s="214"/>
    </row>
    <row r="1069" spans="1:7" s="251" customFormat="1">
      <c r="A1069" s="250"/>
      <c r="B1069" s="213"/>
      <c r="C1069" s="214"/>
      <c r="D1069" s="214"/>
      <c r="E1069" s="214"/>
      <c r="F1069" s="214"/>
      <c r="G1069" s="214"/>
    </row>
    <row r="1070" spans="1:7" s="251" customFormat="1">
      <c r="A1070" s="250"/>
      <c r="B1070" s="213"/>
      <c r="C1070" s="214"/>
      <c r="D1070" s="214"/>
      <c r="E1070" s="214"/>
      <c r="F1070" s="214"/>
      <c r="G1070" s="214"/>
    </row>
    <row r="1071" spans="1:7" s="251" customFormat="1">
      <c r="A1071" s="250"/>
      <c r="B1071" s="213"/>
      <c r="C1071" s="214"/>
      <c r="D1071" s="214"/>
      <c r="E1071" s="214"/>
      <c r="F1071" s="214"/>
      <c r="G1071" s="214"/>
    </row>
    <row r="1072" spans="1:7" s="251" customFormat="1">
      <c r="A1072" s="250"/>
      <c r="B1072" s="213"/>
      <c r="C1072" s="214"/>
      <c r="D1072" s="214"/>
      <c r="E1072" s="214"/>
      <c r="F1072" s="214"/>
      <c r="G1072" s="214"/>
    </row>
    <row r="1073" spans="1:7" s="251" customFormat="1">
      <c r="A1073" s="250"/>
      <c r="B1073" s="213"/>
      <c r="C1073" s="214"/>
      <c r="D1073" s="214"/>
      <c r="E1073" s="214"/>
      <c r="F1073" s="214"/>
      <c r="G1073" s="214"/>
    </row>
    <row r="1074" spans="1:7" s="251" customFormat="1">
      <c r="A1074" s="250"/>
      <c r="B1074" s="213"/>
      <c r="C1074" s="214"/>
      <c r="D1074" s="214"/>
      <c r="E1074" s="214"/>
      <c r="F1074" s="214"/>
      <c r="G1074" s="214"/>
    </row>
    <row r="1075" spans="1:7" s="251" customFormat="1">
      <c r="A1075" s="250"/>
      <c r="B1075" s="213"/>
      <c r="C1075" s="214"/>
      <c r="D1075" s="214"/>
      <c r="E1075" s="214"/>
      <c r="F1075" s="214"/>
      <c r="G1075" s="214"/>
    </row>
    <row r="1076" spans="1:7" s="251" customFormat="1">
      <c r="A1076" s="250"/>
      <c r="B1076" s="213"/>
      <c r="C1076" s="214"/>
      <c r="D1076" s="214"/>
      <c r="E1076" s="214"/>
      <c r="F1076" s="214"/>
      <c r="G1076" s="214"/>
    </row>
    <row r="1077" spans="1:7" s="251" customFormat="1">
      <c r="A1077" s="250"/>
      <c r="B1077" s="213"/>
      <c r="C1077" s="214"/>
      <c r="D1077" s="214"/>
      <c r="E1077" s="214"/>
      <c r="F1077" s="214"/>
      <c r="G1077" s="214"/>
    </row>
    <row r="1078" spans="1:7" s="251" customFormat="1">
      <c r="A1078" s="250"/>
      <c r="B1078" s="213"/>
      <c r="C1078" s="214"/>
      <c r="D1078" s="214"/>
      <c r="E1078" s="214"/>
      <c r="F1078" s="214"/>
      <c r="G1078" s="214"/>
    </row>
    <row r="1079" spans="1:7" s="251" customFormat="1">
      <c r="A1079" s="250"/>
      <c r="B1079" s="213"/>
      <c r="C1079" s="214"/>
      <c r="D1079" s="214"/>
      <c r="E1079" s="214"/>
      <c r="F1079" s="214"/>
      <c r="G1079" s="214"/>
    </row>
    <row r="1080" spans="1:7" s="251" customFormat="1">
      <c r="A1080" s="250"/>
      <c r="B1080" s="213"/>
      <c r="C1080" s="214"/>
      <c r="D1080" s="214"/>
      <c r="E1080" s="214"/>
      <c r="F1080" s="214"/>
      <c r="G1080" s="214"/>
    </row>
    <row r="1081" spans="1:7" s="251" customFormat="1">
      <c r="A1081" s="250"/>
      <c r="B1081" s="213"/>
      <c r="C1081" s="214"/>
      <c r="D1081" s="214"/>
      <c r="E1081" s="214"/>
      <c r="F1081" s="214"/>
      <c r="G1081" s="214"/>
    </row>
    <row r="1082" spans="1:7" s="251" customFormat="1">
      <c r="A1082" s="250"/>
      <c r="B1082" s="213"/>
      <c r="C1082" s="214"/>
      <c r="D1082" s="214"/>
      <c r="E1082" s="214"/>
      <c r="F1082" s="214"/>
      <c r="G1082" s="214"/>
    </row>
    <row r="1083" spans="1:7" s="251" customFormat="1">
      <c r="A1083" s="250"/>
      <c r="B1083" s="213"/>
      <c r="C1083" s="214"/>
      <c r="D1083" s="214"/>
      <c r="E1083" s="214"/>
      <c r="F1083" s="214"/>
      <c r="G1083" s="214"/>
    </row>
    <row r="1084" spans="1:7" s="251" customFormat="1">
      <c r="A1084" s="250"/>
      <c r="B1084" s="213"/>
      <c r="C1084" s="214"/>
      <c r="D1084" s="214"/>
      <c r="E1084" s="214"/>
      <c r="F1084" s="214"/>
      <c r="G1084" s="214"/>
    </row>
    <row r="1085" spans="1:7" s="251" customFormat="1">
      <c r="A1085" s="250"/>
      <c r="B1085" s="213"/>
      <c r="C1085" s="214"/>
      <c r="D1085" s="214"/>
      <c r="E1085" s="214"/>
      <c r="F1085" s="214"/>
      <c r="G1085" s="214"/>
    </row>
    <row r="1086" spans="1:7" s="251" customFormat="1">
      <c r="A1086" s="250"/>
      <c r="B1086" s="213"/>
      <c r="C1086" s="214"/>
      <c r="D1086" s="214"/>
      <c r="E1086" s="214"/>
      <c r="F1086" s="214"/>
      <c r="G1086" s="214"/>
    </row>
    <row r="1087" spans="1:7" s="251" customFormat="1">
      <c r="A1087" s="250"/>
      <c r="B1087" s="213"/>
      <c r="C1087" s="214"/>
      <c r="D1087" s="214"/>
      <c r="E1087" s="214"/>
      <c r="F1087" s="214"/>
      <c r="G1087" s="214"/>
    </row>
    <row r="1088" spans="1:7" s="251" customFormat="1">
      <c r="A1088" s="250"/>
      <c r="B1088" s="213"/>
      <c r="C1088" s="214"/>
      <c r="D1088" s="214"/>
      <c r="E1088" s="214"/>
      <c r="F1088" s="214"/>
      <c r="G1088" s="214"/>
    </row>
    <row r="1089" spans="1:7" s="251" customFormat="1">
      <c r="A1089" s="250"/>
      <c r="B1089" s="213"/>
      <c r="C1089" s="214"/>
      <c r="D1089" s="214"/>
      <c r="E1089" s="214"/>
      <c r="F1089" s="214"/>
      <c r="G1089" s="214"/>
    </row>
    <row r="1090" spans="1:7" s="251" customFormat="1">
      <c r="A1090" s="250"/>
      <c r="B1090" s="213"/>
      <c r="C1090" s="214"/>
      <c r="D1090" s="214"/>
      <c r="E1090" s="214"/>
      <c r="F1090" s="214"/>
      <c r="G1090" s="214"/>
    </row>
    <row r="1091" spans="1:7" s="251" customFormat="1">
      <c r="A1091" s="250"/>
      <c r="B1091" s="213"/>
      <c r="C1091" s="214"/>
      <c r="D1091" s="214"/>
      <c r="E1091" s="214"/>
      <c r="F1091" s="214"/>
      <c r="G1091" s="214"/>
    </row>
    <row r="1092" spans="1:7" s="251" customFormat="1">
      <c r="A1092" s="250"/>
      <c r="B1092" s="213"/>
      <c r="C1092" s="214"/>
      <c r="D1092" s="214"/>
      <c r="E1092" s="214"/>
      <c r="F1092" s="214"/>
      <c r="G1092" s="214"/>
    </row>
    <row r="1093" spans="1:7" s="251" customFormat="1">
      <c r="A1093" s="250"/>
      <c r="B1093" s="213"/>
      <c r="C1093" s="214"/>
      <c r="D1093" s="214"/>
      <c r="E1093" s="214"/>
      <c r="F1093" s="214"/>
      <c r="G1093" s="214"/>
    </row>
    <row r="1094" spans="1:7" s="251" customFormat="1">
      <c r="A1094" s="250"/>
      <c r="B1094" s="213"/>
      <c r="C1094" s="214"/>
      <c r="D1094" s="214"/>
      <c r="E1094" s="214"/>
      <c r="F1094" s="214"/>
      <c r="G1094" s="214"/>
    </row>
    <row r="1095" spans="1:7" s="251" customFormat="1">
      <c r="A1095" s="250"/>
      <c r="B1095" s="213"/>
      <c r="C1095" s="214"/>
      <c r="D1095" s="214"/>
      <c r="E1095" s="214"/>
      <c r="F1095" s="214"/>
      <c r="G1095" s="214"/>
    </row>
    <row r="1096" spans="1:7" s="251" customFormat="1">
      <c r="A1096" s="250"/>
      <c r="B1096" s="213"/>
      <c r="C1096" s="214"/>
      <c r="D1096" s="214"/>
      <c r="E1096" s="214"/>
      <c r="F1096" s="214"/>
      <c r="G1096" s="214"/>
    </row>
    <row r="1097" spans="1:7" s="251" customFormat="1">
      <c r="A1097" s="250"/>
      <c r="B1097" s="213"/>
      <c r="C1097" s="214"/>
      <c r="D1097" s="214"/>
      <c r="E1097" s="214"/>
      <c r="F1097" s="214"/>
      <c r="G1097" s="214"/>
    </row>
    <row r="1098" spans="1:7" s="251" customFormat="1">
      <c r="A1098" s="250"/>
      <c r="B1098" s="213"/>
      <c r="C1098" s="214"/>
      <c r="D1098" s="214"/>
      <c r="E1098" s="214"/>
      <c r="F1098" s="214"/>
      <c r="G1098" s="214"/>
    </row>
    <row r="1099" spans="1:7" s="251" customFormat="1">
      <c r="A1099" s="250"/>
      <c r="B1099" s="213"/>
      <c r="C1099" s="214"/>
      <c r="D1099" s="214"/>
      <c r="E1099" s="214"/>
      <c r="F1099" s="214"/>
      <c r="G1099" s="214"/>
    </row>
    <row r="1100" spans="1:7" s="251" customFormat="1">
      <c r="A1100" s="250"/>
      <c r="B1100" s="213"/>
      <c r="C1100" s="214"/>
      <c r="D1100" s="214"/>
      <c r="E1100" s="214"/>
      <c r="F1100" s="214"/>
      <c r="G1100" s="214"/>
    </row>
    <row r="1101" spans="1:7" s="251" customFormat="1">
      <c r="A1101" s="250"/>
      <c r="B1101" s="213"/>
      <c r="C1101" s="214"/>
      <c r="D1101" s="214"/>
      <c r="E1101" s="214"/>
      <c r="F1101" s="214"/>
      <c r="G1101" s="214"/>
    </row>
    <row r="1102" spans="1:7" s="251" customFormat="1">
      <c r="A1102" s="250"/>
      <c r="B1102" s="213"/>
      <c r="C1102" s="214"/>
      <c r="D1102" s="214"/>
      <c r="E1102" s="214"/>
      <c r="F1102" s="214"/>
      <c r="G1102" s="214"/>
    </row>
    <row r="1103" spans="1:7" s="251" customFormat="1">
      <c r="A1103" s="250"/>
      <c r="B1103" s="213"/>
      <c r="C1103" s="214"/>
      <c r="D1103" s="214"/>
      <c r="E1103" s="214"/>
      <c r="F1103" s="214"/>
      <c r="G1103" s="214"/>
    </row>
    <row r="1104" spans="1:7" s="251" customFormat="1">
      <c r="A1104" s="250"/>
      <c r="B1104" s="213"/>
      <c r="C1104" s="214"/>
      <c r="D1104" s="214"/>
      <c r="E1104" s="214"/>
      <c r="F1104" s="214"/>
      <c r="G1104" s="214"/>
    </row>
    <row r="1105" spans="1:7" s="251" customFormat="1">
      <c r="A1105" s="250"/>
      <c r="B1105" s="213"/>
      <c r="C1105" s="214"/>
      <c r="D1105" s="214"/>
      <c r="E1105" s="214"/>
      <c r="F1105" s="214"/>
      <c r="G1105" s="214"/>
    </row>
    <row r="1106" spans="1:7" s="251" customFormat="1">
      <c r="A1106" s="250"/>
      <c r="B1106" s="213"/>
      <c r="C1106" s="214"/>
      <c r="D1106" s="214"/>
      <c r="E1106" s="214"/>
      <c r="F1106" s="214"/>
      <c r="G1106" s="214"/>
    </row>
    <row r="1107" spans="1:7" s="251" customFormat="1">
      <c r="A1107" s="250"/>
      <c r="B1107" s="213"/>
      <c r="C1107" s="214"/>
      <c r="D1107" s="214"/>
      <c r="E1107" s="214"/>
      <c r="F1107" s="214"/>
      <c r="G1107" s="214"/>
    </row>
    <row r="1108" spans="1:7" s="251" customFormat="1">
      <c r="A1108" s="250"/>
      <c r="B1108" s="213"/>
      <c r="C1108" s="214"/>
      <c r="D1108" s="214"/>
      <c r="E1108" s="214"/>
      <c r="F1108" s="214"/>
      <c r="G1108" s="214"/>
    </row>
    <row r="1109" spans="1:7" s="251" customFormat="1">
      <c r="A1109" s="250"/>
      <c r="B1109" s="213"/>
      <c r="C1109" s="214"/>
      <c r="D1109" s="214"/>
      <c r="E1109" s="214"/>
      <c r="F1109" s="214"/>
      <c r="G1109" s="214"/>
    </row>
    <row r="1110" spans="1:7" s="251" customFormat="1">
      <c r="A1110" s="250"/>
      <c r="B1110" s="213"/>
      <c r="C1110" s="214"/>
      <c r="D1110" s="214"/>
      <c r="E1110" s="214"/>
      <c r="F1110" s="214"/>
      <c r="G1110" s="214"/>
    </row>
    <row r="1111" spans="1:7" s="251" customFormat="1">
      <c r="A1111" s="250"/>
      <c r="B1111" s="213"/>
      <c r="C1111" s="214"/>
      <c r="D1111" s="214"/>
      <c r="E1111" s="214"/>
      <c r="F1111" s="214"/>
      <c r="G1111" s="214"/>
    </row>
    <row r="1112" spans="1:7" s="251" customFormat="1">
      <c r="A1112" s="250"/>
      <c r="B1112" s="213"/>
      <c r="C1112" s="214"/>
      <c r="D1112" s="214"/>
      <c r="E1112" s="214"/>
      <c r="F1112" s="214"/>
      <c r="G1112" s="214"/>
    </row>
    <row r="1113" spans="1:7" s="251" customFormat="1">
      <c r="A1113" s="250"/>
      <c r="B1113" s="213"/>
      <c r="C1113" s="214"/>
      <c r="D1113" s="214"/>
      <c r="E1113" s="214"/>
      <c r="F1113" s="214"/>
      <c r="G1113" s="214"/>
    </row>
    <row r="1114" spans="1:7" s="251" customFormat="1">
      <c r="A1114" s="250"/>
      <c r="B1114" s="213"/>
      <c r="C1114" s="214"/>
      <c r="D1114" s="214"/>
      <c r="E1114" s="214"/>
      <c r="F1114" s="214"/>
      <c r="G1114" s="214"/>
    </row>
    <row r="1115" spans="1:7" s="251" customFormat="1">
      <c r="A1115" s="250"/>
      <c r="B1115" s="213"/>
      <c r="C1115" s="214"/>
      <c r="D1115" s="214"/>
      <c r="E1115" s="214"/>
      <c r="F1115" s="214"/>
      <c r="G1115" s="214"/>
    </row>
    <row r="1116" spans="1:7" s="251" customFormat="1">
      <c r="A1116" s="250"/>
      <c r="B1116" s="213"/>
      <c r="C1116" s="214"/>
      <c r="D1116" s="214"/>
      <c r="E1116" s="214"/>
      <c r="F1116" s="214"/>
      <c r="G1116" s="214"/>
    </row>
    <row r="1117" spans="1:7" s="251" customFormat="1">
      <c r="A1117" s="250"/>
      <c r="B1117" s="213"/>
      <c r="C1117" s="214"/>
      <c r="D1117" s="214"/>
      <c r="E1117" s="214"/>
      <c r="F1117" s="214"/>
      <c r="G1117" s="214"/>
    </row>
    <row r="1118" spans="1:7" s="251" customFormat="1">
      <c r="A1118" s="250"/>
      <c r="B1118" s="213"/>
      <c r="C1118" s="214"/>
      <c r="D1118" s="214"/>
      <c r="E1118" s="214"/>
      <c r="F1118" s="214"/>
      <c r="G1118" s="214"/>
    </row>
    <row r="1119" spans="1:7" s="251" customFormat="1">
      <c r="A1119" s="250"/>
      <c r="B1119" s="213"/>
      <c r="C1119" s="214"/>
      <c r="D1119" s="214"/>
      <c r="E1119" s="214"/>
      <c r="F1119" s="214"/>
      <c r="G1119" s="214"/>
    </row>
    <row r="1120" spans="1:7" s="251" customFormat="1">
      <c r="A1120" s="250"/>
      <c r="B1120" s="213"/>
      <c r="C1120" s="214"/>
      <c r="D1120" s="214"/>
      <c r="E1120" s="214"/>
      <c r="F1120" s="214"/>
      <c r="G1120" s="214"/>
    </row>
    <row r="1121" spans="1:7" s="251" customFormat="1">
      <c r="A1121" s="250"/>
      <c r="B1121" s="213"/>
      <c r="C1121" s="214"/>
      <c r="D1121" s="214"/>
      <c r="E1121" s="214"/>
      <c r="F1121" s="214"/>
      <c r="G1121" s="214"/>
    </row>
    <row r="1122" spans="1:7" s="251" customFormat="1">
      <c r="A1122" s="250"/>
      <c r="B1122" s="213"/>
      <c r="C1122" s="214"/>
      <c r="D1122" s="214"/>
      <c r="E1122" s="214"/>
      <c r="F1122" s="214"/>
      <c r="G1122" s="214"/>
    </row>
    <row r="1123" spans="1:7" s="251" customFormat="1">
      <c r="A1123" s="250"/>
      <c r="B1123" s="213"/>
      <c r="C1123" s="214"/>
      <c r="D1123" s="214"/>
      <c r="E1123" s="214"/>
      <c r="F1123" s="214"/>
      <c r="G1123" s="214"/>
    </row>
    <row r="1124" spans="1:7" s="251" customFormat="1">
      <c r="A1124" s="250"/>
      <c r="B1124" s="213"/>
      <c r="C1124" s="214"/>
      <c r="D1124" s="214"/>
      <c r="E1124" s="214"/>
      <c r="F1124" s="214"/>
      <c r="G1124" s="214"/>
    </row>
    <row r="1125" spans="1:7" s="251" customFormat="1">
      <c r="A1125" s="250"/>
      <c r="B1125" s="213"/>
      <c r="C1125" s="214"/>
      <c r="D1125" s="214"/>
      <c r="E1125" s="214"/>
      <c r="F1125" s="214"/>
      <c r="G1125" s="214"/>
    </row>
    <row r="1126" spans="1:7" s="251" customFormat="1">
      <c r="A1126" s="250"/>
      <c r="B1126" s="213"/>
      <c r="C1126" s="214"/>
      <c r="D1126" s="214"/>
      <c r="E1126" s="214"/>
      <c r="F1126" s="214"/>
      <c r="G1126" s="214"/>
    </row>
    <row r="1127" spans="1:7" s="251" customFormat="1">
      <c r="A1127" s="250"/>
      <c r="B1127" s="213"/>
      <c r="C1127" s="214"/>
      <c r="D1127" s="214"/>
      <c r="E1127" s="214"/>
      <c r="F1127" s="214"/>
      <c r="G1127" s="214"/>
    </row>
    <row r="1128" spans="1:7" s="251" customFormat="1">
      <c r="A1128" s="250"/>
      <c r="B1128" s="213"/>
      <c r="C1128" s="214"/>
      <c r="D1128" s="214"/>
      <c r="E1128" s="214"/>
      <c r="F1128" s="214"/>
      <c r="G1128" s="214"/>
    </row>
    <row r="1129" spans="1:7" s="251" customFormat="1">
      <c r="A1129" s="250"/>
      <c r="B1129" s="213"/>
      <c r="C1129" s="214"/>
      <c r="D1129" s="214"/>
      <c r="E1129" s="214"/>
      <c r="F1129" s="214"/>
      <c r="G1129" s="214"/>
    </row>
    <row r="1130" spans="1:7" s="251" customFormat="1">
      <c r="A1130" s="250"/>
      <c r="B1130" s="213"/>
      <c r="C1130" s="214"/>
      <c r="D1130" s="214"/>
      <c r="E1130" s="214"/>
      <c r="F1130" s="214"/>
      <c r="G1130" s="214"/>
    </row>
    <row r="1131" spans="1:7" s="251" customFormat="1">
      <c r="A1131" s="250"/>
      <c r="B1131" s="213"/>
      <c r="C1131" s="214"/>
      <c r="D1131" s="214"/>
      <c r="E1131" s="214"/>
      <c r="F1131" s="214"/>
      <c r="G1131" s="214"/>
    </row>
    <row r="1132" spans="1:7" s="251" customFormat="1">
      <c r="A1132" s="250"/>
      <c r="B1132" s="213"/>
      <c r="C1132" s="214"/>
      <c r="D1132" s="214"/>
      <c r="E1132" s="214"/>
      <c r="F1132" s="214"/>
      <c r="G1132" s="214"/>
    </row>
    <row r="1133" spans="1:7" s="251" customFormat="1">
      <c r="A1133" s="250"/>
      <c r="B1133" s="213"/>
      <c r="C1133" s="214"/>
      <c r="D1133" s="214"/>
      <c r="E1133" s="214"/>
      <c r="F1133" s="214"/>
      <c r="G1133" s="214"/>
    </row>
    <row r="1134" spans="1:7" s="251" customFormat="1">
      <c r="A1134" s="250"/>
      <c r="B1134" s="213"/>
      <c r="C1134" s="214"/>
      <c r="D1134" s="214"/>
      <c r="E1134" s="214"/>
      <c r="F1134" s="214"/>
      <c r="G1134" s="214"/>
    </row>
    <row r="1135" spans="1:7" s="251" customFormat="1">
      <c r="A1135" s="250"/>
      <c r="B1135" s="213"/>
      <c r="C1135" s="214"/>
      <c r="D1135" s="214"/>
      <c r="E1135" s="214"/>
      <c r="F1135" s="214"/>
      <c r="G1135" s="214"/>
    </row>
    <row r="1136" spans="1:7" s="251" customFormat="1">
      <c r="A1136" s="250"/>
      <c r="B1136" s="213"/>
      <c r="C1136" s="214"/>
      <c r="D1136" s="214"/>
      <c r="E1136" s="214"/>
      <c r="F1136" s="214"/>
      <c r="G1136" s="214"/>
    </row>
    <row r="1137" spans="1:7" s="251" customFormat="1">
      <c r="A1137" s="250"/>
      <c r="B1137" s="213"/>
      <c r="C1137" s="214"/>
      <c r="D1137" s="214"/>
      <c r="E1137" s="214"/>
      <c r="F1137" s="214"/>
      <c r="G1137" s="214"/>
    </row>
    <row r="1138" spans="1:7" s="251" customFormat="1">
      <c r="A1138" s="250"/>
      <c r="B1138" s="213"/>
      <c r="C1138" s="214"/>
      <c r="D1138" s="214"/>
      <c r="E1138" s="214"/>
      <c r="F1138" s="214"/>
      <c r="G1138" s="214"/>
    </row>
    <row r="1139" spans="1:7" s="251" customFormat="1">
      <c r="A1139" s="250"/>
      <c r="B1139" s="213"/>
      <c r="C1139" s="214"/>
      <c r="D1139" s="214"/>
      <c r="E1139" s="214"/>
      <c r="F1139" s="214"/>
      <c r="G1139" s="214"/>
    </row>
    <row r="1140" spans="1:7" s="251" customFormat="1">
      <c r="A1140" s="250"/>
      <c r="B1140" s="213"/>
      <c r="C1140" s="214"/>
      <c r="D1140" s="214"/>
      <c r="E1140" s="214"/>
      <c r="F1140" s="214"/>
      <c r="G1140" s="214"/>
    </row>
    <row r="1141" spans="1:7" s="251" customFormat="1">
      <c r="A1141" s="250"/>
      <c r="B1141" s="213"/>
      <c r="C1141" s="214"/>
      <c r="D1141" s="214"/>
      <c r="E1141" s="214"/>
      <c r="F1141" s="214"/>
      <c r="G1141" s="214"/>
    </row>
    <row r="1142" spans="1:7" s="251" customFormat="1">
      <c r="A1142" s="250"/>
      <c r="B1142" s="213"/>
      <c r="C1142" s="214"/>
      <c r="D1142" s="214"/>
      <c r="E1142" s="214"/>
      <c r="F1142" s="214"/>
      <c r="G1142" s="214"/>
    </row>
    <row r="1143" spans="1:7" s="251" customFormat="1">
      <c r="A1143" s="250"/>
      <c r="B1143" s="213"/>
      <c r="C1143" s="214"/>
      <c r="D1143" s="214"/>
      <c r="E1143" s="214"/>
      <c r="F1143" s="214"/>
      <c r="G1143" s="214"/>
    </row>
    <row r="1144" spans="1:7" s="251" customFormat="1">
      <c r="A1144" s="250"/>
      <c r="B1144" s="213"/>
      <c r="C1144" s="214"/>
      <c r="D1144" s="214"/>
      <c r="E1144" s="214"/>
      <c r="F1144" s="214"/>
      <c r="G1144" s="214"/>
    </row>
    <row r="1145" spans="1:7" s="251" customFormat="1">
      <c r="A1145" s="250"/>
      <c r="B1145" s="213"/>
      <c r="C1145" s="214"/>
      <c r="D1145" s="214"/>
      <c r="E1145" s="214"/>
      <c r="F1145" s="214"/>
      <c r="G1145" s="214"/>
    </row>
    <row r="1146" spans="1:7" s="251" customFormat="1">
      <c r="A1146" s="250"/>
      <c r="B1146" s="213"/>
      <c r="C1146" s="214"/>
      <c r="D1146" s="214"/>
      <c r="E1146" s="214"/>
      <c r="F1146" s="214"/>
      <c r="G1146" s="214"/>
    </row>
    <row r="1147" spans="1:7" s="251" customFormat="1">
      <c r="A1147" s="250"/>
      <c r="B1147" s="213"/>
      <c r="C1147" s="214"/>
      <c r="D1147" s="214"/>
      <c r="E1147" s="214"/>
      <c r="F1147" s="214"/>
      <c r="G1147" s="214"/>
    </row>
    <row r="1148" spans="1:7" s="251" customFormat="1">
      <c r="A1148" s="250"/>
      <c r="B1148" s="213"/>
      <c r="C1148" s="214"/>
      <c r="D1148" s="214"/>
      <c r="E1148" s="214"/>
      <c r="F1148" s="214"/>
      <c r="G1148" s="214"/>
    </row>
    <row r="1149" spans="1:7" s="251" customFormat="1">
      <c r="A1149" s="250"/>
      <c r="B1149" s="213"/>
      <c r="C1149" s="214"/>
      <c r="D1149" s="214"/>
      <c r="E1149" s="214"/>
      <c r="F1149" s="214"/>
      <c r="G1149" s="214"/>
    </row>
    <row r="1150" spans="1:7" s="251" customFormat="1">
      <c r="A1150" s="250"/>
      <c r="B1150" s="213"/>
      <c r="C1150" s="214"/>
      <c r="D1150" s="214"/>
      <c r="E1150" s="214"/>
      <c r="F1150" s="214"/>
      <c r="G1150" s="214"/>
    </row>
    <row r="1151" spans="1:7" s="251" customFormat="1">
      <c r="A1151" s="250"/>
      <c r="B1151" s="213"/>
      <c r="C1151" s="214"/>
      <c r="D1151" s="214"/>
      <c r="E1151" s="214"/>
      <c r="F1151" s="214"/>
      <c r="G1151" s="214"/>
    </row>
    <row r="1152" spans="1:7" s="251" customFormat="1">
      <c r="A1152" s="250"/>
      <c r="B1152" s="213"/>
      <c r="C1152" s="214"/>
      <c r="D1152" s="214"/>
      <c r="E1152" s="214"/>
      <c r="F1152" s="214"/>
      <c r="G1152" s="214"/>
    </row>
    <row r="1153" spans="1:7" s="251" customFormat="1">
      <c r="A1153" s="250"/>
      <c r="B1153" s="213"/>
      <c r="C1153" s="214"/>
      <c r="D1153" s="214"/>
      <c r="E1153" s="214"/>
      <c r="F1153" s="214"/>
      <c r="G1153" s="214"/>
    </row>
    <row r="1154" spans="1:7" s="251" customFormat="1">
      <c r="A1154" s="250"/>
      <c r="B1154" s="213"/>
      <c r="C1154" s="214"/>
      <c r="D1154" s="214"/>
      <c r="E1154" s="214"/>
      <c r="F1154" s="214"/>
      <c r="G1154" s="214"/>
    </row>
    <row r="1155" spans="1:7" s="251" customFormat="1">
      <c r="A1155" s="250"/>
      <c r="B1155" s="213"/>
      <c r="C1155" s="214"/>
      <c r="D1155" s="214"/>
      <c r="E1155" s="214"/>
      <c r="F1155" s="214"/>
      <c r="G1155" s="214"/>
    </row>
    <row r="1156" spans="1:7" s="251" customFormat="1">
      <c r="A1156" s="250"/>
      <c r="B1156" s="213"/>
      <c r="C1156" s="214"/>
      <c r="D1156" s="214"/>
      <c r="E1156" s="214"/>
      <c r="F1156" s="214"/>
      <c r="G1156" s="214"/>
    </row>
    <row r="1157" spans="1:7" s="251" customFormat="1">
      <c r="A1157" s="250"/>
      <c r="B1157" s="213"/>
      <c r="C1157" s="214"/>
      <c r="D1157" s="214"/>
      <c r="E1157" s="214"/>
      <c r="F1157" s="214"/>
      <c r="G1157" s="214"/>
    </row>
    <row r="1158" spans="1:7" s="251" customFormat="1">
      <c r="A1158" s="250"/>
      <c r="B1158" s="213"/>
      <c r="C1158" s="214"/>
      <c r="D1158" s="214"/>
      <c r="E1158" s="214"/>
      <c r="F1158" s="214"/>
      <c r="G1158" s="214"/>
    </row>
    <row r="1159" spans="1:7" s="251" customFormat="1">
      <c r="A1159" s="250"/>
      <c r="B1159" s="213"/>
      <c r="C1159" s="214"/>
      <c r="D1159" s="214"/>
      <c r="E1159" s="214"/>
      <c r="F1159" s="214"/>
      <c r="G1159" s="214"/>
    </row>
    <row r="1160" spans="1:7" s="251" customFormat="1">
      <c r="A1160" s="250"/>
      <c r="B1160" s="213"/>
      <c r="C1160" s="214"/>
      <c r="D1160" s="214"/>
      <c r="E1160" s="214"/>
      <c r="F1160" s="214"/>
      <c r="G1160" s="214"/>
    </row>
    <row r="1161" spans="1:7" s="251" customFormat="1">
      <c r="A1161" s="250"/>
      <c r="B1161" s="213"/>
      <c r="C1161" s="214"/>
      <c r="D1161" s="214"/>
      <c r="E1161" s="214"/>
      <c r="F1161" s="214"/>
      <c r="G1161" s="214"/>
    </row>
    <row r="1162" spans="1:7" s="251" customFormat="1">
      <c r="A1162" s="250"/>
      <c r="B1162" s="213"/>
      <c r="C1162" s="214"/>
      <c r="D1162" s="214"/>
      <c r="E1162" s="214"/>
      <c r="F1162" s="214"/>
      <c r="G1162" s="214"/>
    </row>
    <row r="1163" spans="1:7" s="251" customFormat="1">
      <c r="A1163" s="250"/>
      <c r="B1163" s="213"/>
      <c r="C1163" s="214"/>
      <c r="D1163" s="214"/>
      <c r="E1163" s="214"/>
      <c r="F1163" s="214"/>
      <c r="G1163" s="214"/>
    </row>
    <row r="1164" spans="1:7" s="251" customFormat="1">
      <c r="A1164" s="250"/>
      <c r="B1164" s="213"/>
      <c r="C1164" s="214"/>
      <c r="D1164" s="214"/>
      <c r="E1164" s="214"/>
      <c r="F1164" s="214"/>
      <c r="G1164" s="214"/>
    </row>
    <row r="1165" spans="1:7" s="251" customFormat="1">
      <c r="A1165" s="250"/>
      <c r="B1165" s="213"/>
      <c r="C1165" s="214"/>
      <c r="D1165" s="214"/>
      <c r="E1165" s="214"/>
      <c r="F1165" s="214"/>
      <c r="G1165" s="214"/>
    </row>
    <row r="1166" spans="1:7" s="251" customFormat="1">
      <c r="A1166" s="250"/>
      <c r="B1166" s="213"/>
      <c r="C1166" s="214"/>
      <c r="D1166" s="214"/>
      <c r="E1166" s="214"/>
      <c r="F1166" s="214"/>
      <c r="G1166" s="214"/>
    </row>
    <row r="1167" spans="1:7" s="251" customFormat="1">
      <c r="A1167" s="250"/>
      <c r="B1167" s="213"/>
      <c r="C1167" s="214"/>
      <c r="D1167" s="214"/>
      <c r="E1167" s="214"/>
      <c r="F1167" s="214"/>
      <c r="G1167" s="214"/>
    </row>
    <row r="1168" spans="1:7" s="251" customFormat="1">
      <c r="A1168" s="250"/>
      <c r="B1168" s="213"/>
      <c r="C1168" s="214"/>
      <c r="D1168" s="214"/>
      <c r="E1168" s="214"/>
      <c r="F1168" s="214"/>
      <c r="G1168" s="214"/>
    </row>
    <row r="1169" spans="1:7" s="251" customFormat="1">
      <c r="A1169" s="250"/>
      <c r="B1169" s="213"/>
      <c r="C1169" s="214"/>
      <c r="D1169" s="214"/>
      <c r="E1169" s="214"/>
      <c r="F1169" s="214"/>
      <c r="G1169" s="214"/>
    </row>
    <row r="1170" spans="1:7" s="251" customFormat="1">
      <c r="A1170" s="250"/>
      <c r="B1170" s="213"/>
      <c r="C1170" s="214"/>
      <c r="D1170" s="214"/>
      <c r="E1170" s="214"/>
      <c r="F1170" s="214"/>
      <c r="G1170" s="214"/>
    </row>
    <row r="1171" spans="1:7" s="251" customFormat="1">
      <c r="A1171" s="250"/>
      <c r="B1171" s="213"/>
      <c r="C1171" s="214"/>
      <c r="D1171" s="214"/>
      <c r="E1171" s="214"/>
      <c r="F1171" s="214"/>
      <c r="G1171" s="214"/>
    </row>
    <row r="1172" spans="1:7" s="251" customFormat="1">
      <c r="A1172" s="250"/>
      <c r="B1172" s="213"/>
      <c r="C1172" s="214"/>
      <c r="D1172" s="214"/>
      <c r="E1172" s="214"/>
      <c r="F1172" s="214"/>
      <c r="G1172" s="214"/>
    </row>
    <row r="1173" spans="1:7" s="251" customFormat="1">
      <c r="A1173" s="250"/>
      <c r="B1173" s="213"/>
      <c r="C1173" s="214"/>
      <c r="D1173" s="214"/>
      <c r="E1173" s="214"/>
      <c r="F1173" s="214"/>
      <c r="G1173" s="214"/>
    </row>
    <row r="1174" spans="1:7" s="251" customFormat="1">
      <c r="A1174" s="250"/>
      <c r="B1174" s="213"/>
      <c r="C1174" s="214"/>
      <c r="D1174" s="214"/>
      <c r="E1174" s="214"/>
      <c r="F1174" s="214"/>
      <c r="G1174" s="214"/>
    </row>
    <row r="1175" spans="1:7" s="251" customFormat="1">
      <c r="A1175" s="250"/>
      <c r="B1175" s="213"/>
      <c r="C1175" s="214"/>
      <c r="D1175" s="214"/>
      <c r="E1175" s="214"/>
      <c r="F1175" s="214"/>
      <c r="G1175" s="214"/>
    </row>
    <row r="1176" spans="1:7" s="251" customFormat="1">
      <c r="A1176" s="250"/>
      <c r="B1176" s="213"/>
      <c r="C1176" s="214"/>
      <c r="D1176" s="214"/>
      <c r="E1176" s="214"/>
      <c r="F1176" s="214"/>
      <c r="G1176" s="214"/>
    </row>
    <row r="1177" spans="1:7" s="251" customFormat="1">
      <c r="A1177" s="250"/>
      <c r="B1177" s="213"/>
      <c r="C1177" s="214"/>
      <c r="D1177" s="214"/>
      <c r="E1177" s="214"/>
      <c r="F1177" s="214"/>
      <c r="G1177" s="214"/>
    </row>
    <row r="1178" spans="1:7" s="251" customFormat="1">
      <c r="A1178" s="250"/>
      <c r="B1178" s="213"/>
      <c r="C1178" s="214"/>
      <c r="D1178" s="214"/>
      <c r="E1178" s="214"/>
      <c r="F1178" s="214"/>
      <c r="G1178" s="214"/>
    </row>
    <row r="1179" spans="1:7" s="251" customFormat="1">
      <c r="A1179" s="250"/>
      <c r="B1179" s="213"/>
      <c r="C1179" s="214"/>
      <c r="D1179" s="214"/>
      <c r="E1179" s="214"/>
      <c r="F1179" s="214"/>
      <c r="G1179" s="214"/>
    </row>
    <row r="1180" spans="1:7" s="251" customFormat="1">
      <c r="A1180" s="250"/>
      <c r="B1180" s="213"/>
      <c r="C1180" s="214"/>
      <c r="D1180" s="214"/>
      <c r="E1180" s="214"/>
      <c r="F1180" s="214"/>
      <c r="G1180" s="214"/>
    </row>
    <row r="1181" spans="1:7" s="251" customFormat="1">
      <c r="A1181" s="250"/>
      <c r="B1181" s="213"/>
      <c r="C1181" s="214"/>
      <c r="D1181" s="214"/>
      <c r="E1181" s="214"/>
      <c r="F1181" s="214"/>
      <c r="G1181" s="214"/>
    </row>
    <row r="1182" spans="1:7" s="251" customFormat="1">
      <c r="A1182" s="250"/>
      <c r="B1182" s="213"/>
      <c r="C1182" s="214"/>
      <c r="D1182" s="214"/>
      <c r="E1182" s="214"/>
      <c r="F1182" s="214"/>
      <c r="G1182" s="214"/>
    </row>
    <row r="1183" spans="1:7" s="251" customFormat="1">
      <c r="A1183" s="250"/>
      <c r="B1183" s="213"/>
      <c r="C1183" s="214"/>
      <c r="D1183" s="214"/>
      <c r="E1183" s="214"/>
      <c r="F1183" s="214"/>
      <c r="G1183" s="214"/>
    </row>
    <row r="1184" spans="1:7" s="251" customFormat="1">
      <c r="A1184" s="250"/>
      <c r="B1184" s="213"/>
      <c r="C1184" s="214"/>
      <c r="D1184" s="214"/>
      <c r="E1184" s="214"/>
      <c r="F1184" s="214"/>
      <c r="G1184" s="214"/>
    </row>
    <row r="1185" spans="1:7" s="251" customFormat="1">
      <c r="A1185" s="250"/>
      <c r="B1185" s="213"/>
      <c r="C1185" s="214"/>
      <c r="D1185" s="214"/>
      <c r="E1185" s="214"/>
      <c r="F1185" s="214"/>
      <c r="G1185" s="214"/>
    </row>
    <row r="1186" spans="1:7" s="251" customFormat="1">
      <c r="A1186" s="250"/>
      <c r="B1186" s="213"/>
      <c r="C1186" s="214"/>
      <c r="D1186" s="214"/>
      <c r="E1186" s="214"/>
      <c r="F1186" s="214"/>
      <c r="G1186" s="214"/>
    </row>
    <row r="1187" spans="1:7" s="251" customFormat="1">
      <c r="A1187" s="250"/>
      <c r="B1187" s="213"/>
      <c r="C1187" s="214"/>
      <c r="D1187" s="214"/>
      <c r="E1187" s="214"/>
      <c r="F1187" s="214"/>
      <c r="G1187" s="214"/>
    </row>
    <row r="1188" spans="1:7" s="251" customFormat="1">
      <c r="A1188" s="250"/>
      <c r="B1188" s="213"/>
      <c r="C1188" s="214"/>
      <c r="D1188" s="214"/>
      <c r="E1188" s="214"/>
      <c r="F1188" s="214"/>
      <c r="G1188" s="214"/>
    </row>
    <row r="1189" spans="1:7" s="251" customFormat="1">
      <c r="A1189" s="250"/>
      <c r="B1189" s="213"/>
      <c r="C1189" s="214"/>
      <c r="D1189" s="214"/>
      <c r="E1189" s="214"/>
      <c r="F1189" s="214"/>
      <c r="G1189" s="214"/>
    </row>
    <row r="1190" spans="1:7" s="251" customFormat="1">
      <c r="A1190" s="250"/>
      <c r="B1190" s="213"/>
      <c r="C1190" s="214"/>
      <c r="D1190" s="214"/>
      <c r="E1190" s="214"/>
      <c r="F1190" s="214"/>
      <c r="G1190" s="214"/>
    </row>
    <row r="1191" spans="1:7" s="251" customFormat="1">
      <c r="A1191" s="250"/>
      <c r="B1191" s="213"/>
      <c r="C1191" s="214"/>
      <c r="D1191" s="214"/>
      <c r="E1191" s="214"/>
      <c r="F1191" s="214"/>
      <c r="G1191" s="214"/>
    </row>
    <row r="1192" spans="1:7" s="251" customFormat="1">
      <c r="A1192" s="250"/>
      <c r="B1192" s="213"/>
      <c r="C1192" s="214"/>
      <c r="D1192" s="214"/>
      <c r="E1192" s="214"/>
      <c r="F1192" s="214"/>
      <c r="G1192" s="214"/>
    </row>
    <row r="1193" spans="1:7" s="251" customFormat="1">
      <c r="A1193" s="250"/>
      <c r="B1193" s="213"/>
      <c r="C1193" s="214"/>
      <c r="D1193" s="214"/>
      <c r="E1193" s="214"/>
      <c r="F1193" s="214"/>
      <c r="G1193" s="214"/>
    </row>
    <row r="1194" spans="1:7" s="251" customFormat="1">
      <c r="A1194" s="250"/>
      <c r="B1194" s="213"/>
      <c r="C1194" s="214"/>
      <c r="D1194" s="214"/>
      <c r="E1194" s="214"/>
      <c r="F1194" s="214"/>
      <c r="G1194" s="214"/>
    </row>
    <row r="1195" spans="1:7" s="251" customFormat="1">
      <c r="A1195" s="250"/>
      <c r="B1195" s="213"/>
      <c r="C1195" s="214"/>
      <c r="D1195" s="214"/>
      <c r="E1195" s="214"/>
      <c r="F1195" s="214"/>
      <c r="G1195" s="214"/>
    </row>
  </sheetData>
  <autoFilter ref="A5:AV57">
    <filterColumn colId="35"/>
  </autoFilter>
  <mergeCells count="1">
    <mergeCell ref="B2:G2"/>
  </mergeCells>
  <conditionalFormatting sqref="B44:C44">
    <cfRule type="expression" dxfId="1529" priority="185" stopIfTrue="1">
      <formula>#REF!&gt;0</formula>
    </cfRule>
  </conditionalFormatting>
  <conditionalFormatting sqref="I9:CJ9">
    <cfRule type="cellIs" dxfId="1528" priority="184" stopIfTrue="1" operator="equal">
      <formula>0</formula>
    </cfRule>
  </conditionalFormatting>
  <conditionalFormatting sqref="D4:G5 H5:AU5 C5">
    <cfRule type="expression" dxfId="1527" priority="181">
      <formula>$B4=3</formula>
    </cfRule>
    <cfRule type="expression" dxfId="1526" priority="182">
      <formula>$B4=2</formula>
    </cfRule>
    <cfRule type="expression" dxfId="1525" priority="183">
      <formula>$B4=1</formula>
    </cfRule>
  </conditionalFormatting>
  <conditionalFormatting sqref="J4:T5 AD33:AG42 AD5:AG31 AF4:AG4 J44:M50 AD44:AH50 Q6:T57">
    <cfRule type="expression" dxfId="1524" priority="175">
      <formula>$A4=3</formula>
    </cfRule>
    <cfRule type="expression" dxfId="1523" priority="176">
      <formula>$A4=2</formula>
    </cfRule>
    <cfRule type="expression" dxfId="1522" priority="177">
      <formula>$A4=1</formula>
    </cfRule>
  </conditionalFormatting>
  <conditionalFormatting sqref="J6:M31">
    <cfRule type="expression" dxfId="1521" priority="172">
      <formula>$A6=3</formula>
    </cfRule>
    <cfRule type="expression" dxfId="1520" priority="173">
      <formula>$A6=2</formula>
    </cfRule>
    <cfRule type="expression" dxfId="1519" priority="174">
      <formula>$A6=1</formula>
    </cfRule>
  </conditionalFormatting>
  <conditionalFormatting sqref="J33:M42">
    <cfRule type="expression" dxfId="1518" priority="169">
      <formula>$A33=3</formula>
    </cfRule>
    <cfRule type="expression" dxfId="1517" priority="170">
      <formula>$A33=2</formula>
    </cfRule>
    <cfRule type="expression" dxfId="1516" priority="171">
      <formula>$A33=1</formula>
    </cfRule>
  </conditionalFormatting>
  <conditionalFormatting sqref="Q33:T42">
    <cfRule type="expression" dxfId="1515" priority="166">
      <formula>$A33=3</formula>
    </cfRule>
    <cfRule type="expression" dxfId="1514" priority="167">
      <formula>$A33=2</formula>
    </cfRule>
    <cfRule type="expression" dxfId="1513" priority="168">
      <formula>$A33=1</formula>
    </cfRule>
  </conditionalFormatting>
  <conditionalFormatting sqref="J33:J42">
    <cfRule type="expression" dxfId="1512" priority="163">
      <formula>$A33=3</formula>
    </cfRule>
    <cfRule type="expression" dxfId="1511" priority="164">
      <formula>$A33=2</formula>
    </cfRule>
    <cfRule type="expression" dxfId="1510" priority="165">
      <formula>$A33=1</formula>
    </cfRule>
  </conditionalFormatting>
  <conditionalFormatting sqref="J33:J42">
    <cfRule type="expression" dxfId="1509" priority="160">
      <formula>$A33=3</formula>
    </cfRule>
    <cfRule type="expression" dxfId="1508" priority="161">
      <formula>$A33=2</formula>
    </cfRule>
    <cfRule type="expression" dxfId="1507" priority="162">
      <formula>$A33=1</formula>
    </cfRule>
  </conditionalFormatting>
  <conditionalFormatting sqref="N1">
    <cfRule type="expression" dxfId="1506" priority="157">
      <formula>$A1=3</formula>
    </cfRule>
    <cfRule type="expression" dxfId="1505" priority="158">
      <formula>$A1=2</formula>
    </cfRule>
    <cfRule type="expression" dxfId="1504" priority="159">
      <formula>$A1=1</formula>
    </cfRule>
  </conditionalFormatting>
  <conditionalFormatting sqref="J33:J42">
    <cfRule type="expression" dxfId="1503" priority="154">
      <formula>$A33=3</formula>
    </cfRule>
    <cfRule type="expression" dxfId="1502" priority="155">
      <formula>$A33=2</formula>
    </cfRule>
    <cfRule type="expression" dxfId="1501" priority="156">
      <formula>$A33=1</formula>
    </cfRule>
  </conditionalFormatting>
  <conditionalFormatting sqref="J33:J42">
    <cfRule type="expression" dxfId="1500" priority="151">
      <formula>$A33=3</formula>
    </cfRule>
    <cfRule type="expression" dxfId="1499" priority="152">
      <formula>$A33=2</formula>
    </cfRule>
    <cfRule type="expression" dxfId="1498" priority="153">
      <formula>$A33=1</formula>
    </cfRule>
  </conditionalFormatting>
  <conditionalFormatting sqref="AH5">
    <cfRule type="expression" dxfId="1497" priority="148">
      <formula>$A5=3</formula>
    </cfRule>
    <cfRule type="expression" dxfId="1496" priority="149">
      <formula>$A5=2</formula>
    </cfRule>
    <cfRule type="expression" dxfId="1495" priority="150">
      <formula>$A5=1</formula>
    </cfRule>
  </conditionalFormatting>
  <conditionalFormatting sqref="AH6:AH31">
    <cfRule type="expression" dxfId="1494" priority="145">
      <formula>$A6=3</formula>
    </cfRule>
    <cfRule type="expression" dxfId="1493" priority="146">
      <formula>$A6=2</formula>
    </cfRule>
    <cfRule type="expression" dxfId="1492" priority="147">
      <formula>$A6=1</formula>
    </cfRule>
  </conditionalFormatting>
  <conditionalFormatting sqref="AH33:AH42">
    <cfRule type="expression" dxfId="1491" priority="142">
      <formula>$A33=3</formula>
    </cfRule>
    <cfRule type="expression" dxfId="1490" priority="143">
      <formula>$A33=2</formula>
    </cfRule>
    <cfRule type="expression" dxfId="1489" priority="144">
      <formula>$A33=1</formula>
    </cfRule>
  </conditionalFormatting>
  <conditionalFormatting sqref="AH33:AH42">
    <cfRule type="expression" dxfId="1488" priority="139">
      <formula>$A33=3</formula>
    </cfRule>
    <cfRule type="expression" dxfId="1487" priority="140">
      <formula>$A33=2</formula>
    </cfRule>
    <cfRule type="expression" dxfId="1486" priority="141">
      <formula>$A33=1</formula>
    </cfRule>
  </conditionalFormatting>
  <conditionalFormatting sqref="AD6:AD31">
    <cfRule type="expression" dxfId="1485" priority="136">
      <formula>$A6=3</formula>
    </cfRule>
    <cfRule type="expression" dxfId="1484" priority="137">
      <formula>$A6=2</formula>
    </cfRule>
    <cfRule type="expression" dxfId="1483" priority="138">
      <formula>$A6=1</formula>
    </cfRule>
  </conditionalFormatting>
  <conditionalFormatting sqref="AD33:AD42">
    <cfRule type="expression" dxfId="1482" priority="133">
      <formula>$A33=3</formula>
    </cfRule>
    <cfRule type="expression" dxfId="1481" priority="134">
      <formula>$A33=2</formula>
    </cfRule>
    <cfRule type="expression" dxfId="1480" priority="135">
      <formula>$A33=1</formula>
    </cfRule>
  </conditionalFormatting>
  <conditionalFormatting sqref="AH33:AH42">
    <cfRule type="expression" dxfId="1479" priority="130">
      <formula>$A33=3</formula>
    </cfRule>
    <cfRule type="expression" dxfId="1478" priority="131">
      <formula>$A33=2</formula>
    </cfRule>
    <cfRule type="expression" dxfId="1477" priority="132">
      <formula>$A33=1</formula>
    </cfRule>
  </conditionalFormatting>
  <conditionalFormatting sqref="J33:J42">
    <cfRule type="expression" dxfId="1476" priority="127">
      <formula>$A33=3</formula>
    </cfRule>
    <cfRule type="expression" dxfId="1475" priority="128">
      <formula>$A33=2</formula>
    </cfRule>
    <cfRule type="expression" dxfId="1474" priority="129">
      <formula>$A33=1</formula>
    </cfRule>
  </conditionalFormatting>
  <conditionalFormatting sqref="A1:IW65537">
    <cfRule type="expression" dxfId="1473" priority="125">
      <formula>$A1=2</formula>
    </cfRule>
    <cfRule type="expression" dxfId="1472" priority="126">
      <formula>$A1=1</formula>
    </cfRule>
  </conditionalFormatting>
  <conditionalFormatting sqref="AE6:AG31">
    <cfRule type="expression" dxfId="1471" priority="122">
      <formula>$A6=3</formula>
    </cfRule>
    <cfRule type="expression" dxfId="1470" priority="123">
      <formula>$A6=2</formula>
    </cfRule>
    <cfRule type="expression" dxfId="1469" priority="124">
      <formula>$A6=1</formula>
    </cfRule>
  </conditionalFormatting>
  <conditionalFormatting sqref="AE33:AG42">
    <cfRule type="expression" dxfId="1468" priority="119">
      <formula>$A33=3</formula>
    </cfRule>
    <cfRule type="expression" dxfId="1467" priority="120">
      <formula>$A33=2</formula>
    </cfRule>
    <cfRule type="expression" dxfId="1466" priority="121">
      <formula>$A33=1</formula>
    </cfRule>
  </conditionalFormatting>
  <conditionalFormatting sqref="J33:J42">
    <cfRule type="expression" dxfId="1465" priority="116">
      <formula>$A33=3</formula>
    </cfRule>
    <cfRule type="expression" dxfId="1464" priority="117">
      <formula>$A33=2</formula>
    </cfRule>
    <cfRule type="expression" dxfId="1463" priority="118">
      <formula>$A33=1</formula>
    </cfRule>
  </conditionalFormatting>
  <conditionalFormatting sqref="AH33:AH42">
    <cfRule type="expression" dxfId="1462" priority="113">
      <formula>$A33=3</formula>
    </cfRule>
    <cfRule type="expression" dxfId="1461" priority="114">
      <formula>$A33=2</formula>
    </cfRule>
    <cfRule type="expression" dxfId="1460" priority="115">
      <formula>$A33=1</formula>
    </cfRule>
  </conditionalFormatting>
  <conditionalFormatting sqref="AF6:AG31">
    <cfRule type="expression" dxfId="1459" priority="110">
      <formula>$A6=3</formula>
    </cfRule>
    <cfRule type="expression" dxfId="1458" priority="111">
      <formula>$A6=2</formula>
    </cfRule>
    <cfRule type="expression" dxfId="1457" priority="112">
      <formula>$A6=1</formula>
    </cfRule>
  </conditionalFormatting>
  <conditionalFormatting sqref="AF33:AG42">
    <cfRule type="expression" dxfId="1456" priority="107">
      <formula>$A33=3</formula>
    </cfRule>
    <cfRule type="expression" dxfId="1455" priority="108">
      <formula>$A33=2</formula>
    </cfRule>
    <cfRule type="expression" dxfId="1454" priority="109">
      <formula>$A33=1</formula>
    </cfRule>
  </conditionalFormatting>
  <conditionalFormatting sqref="AH33:AH42">
    <cfRule type="expression" dxfId="1453" priority="104">
      <formula>$A33=3</formula>
    </cfRule>
    <cfRule type="expression" dxfId="1452" priority="105">
      <formula>$A33=2</formula>
    </cfRule>
    <cfRule type="expression" dxfId="1451" priority="106">
      <formula>$A33=1</formula>
    </cfRule>
  </conditionalFormatting>
  <conditionalFormatting sqref="J33:J42">
    <cfRule type="expression" dxfId="1450" priority="101">
      <formula>$A33=3</formula>
    </cfRule>
    <cfRule type="expression" dxfId="1449" priority="102">
      <formula>$A33=2</formula>
    </cfRule>
    <cfRule type="expression" dxfId="1448" priority="103">
      <formula>$A33=1</formula>
    </cfRule>
  </conditionalFormatting>
  <conditionalFormatting sqref="AG6:AG31">
    <cfRule type="expression" dxfId="1447" priority="98">
      <formula>$A6=3</formula>
    </cfRule>
    <cfRule type="expression" dxfId="1446" priority="99">
      <formula>$A6=2</formula>
    </cfRule>
    <cfRule type="expression" dxfId="1445" priority="100">
      <formula>$A6=1</formula>
    </cfRule>
  </conditionalFormatting>
  <conditionalFormatting sqref="AG33:AG42">
    <cfRule type="expression" dxfId="1444" priority="95">
      <formula>$A33=3</formula>
    </cfRule>
    <cfRule type="expression" dxfId="1443" priority="96">
      <formula>$A33=2</formula>
    </cfRule>
    <cfRule type="expression" dxfId="1442" priority="97">
      <formula>$A33=1</formula>
    </cfRule>
  </conditionalFormatting>
  <conditionalFormatting sqref="AH33:AH42">
    <cfRule type="expression" dxfId="1441" priority="92">
      <formula>$A33=3</formula>
    </cfRule>
    <cfRule type="expression" dxfId="1440" priority="93">
      <formula>$A33=2</formula>
    </cfRule>
    <cfRule type="expression" dxfId="1439" priority="94">
      <formula>$A33=1</formula>
    </cfRule>
  </conditionalFormatting>
  <conditionalFormatting sqref="J33:J42">
    <cfRule type="expression" dxfId="1438" priority="89">
      <formula>$A33=3</formula>
    </cfRule>
    <cfRule type="expression" dxfId="1437" priority="90">
      <formula>$A33=2</formula>
    </cfRule>
    <cfRule type="expression" dxfId="1436" priority="91">
      <formula>$A33=1</formula>
    </cfRule>
  </conditionalFormatting>
  <conditionalFormatting sqref="J33:J42">
    <cfRule type="expression" dxfId="1435" priority="86">
      <formula>$A33=3</formula>
    </cfRule>
    <cfRule type="expression" dxfId="1434" priority="87">
      <formula>$A33=2</formula>
    </cfRule>
    <cfRule type="expression" dxfId="1433" priority="88">
      <formula>$A33=1</formula>
    </cfRule>
  </conditionalFormatting>
  <conditionalFormatting sqref="J33:J42">
    <cfRule type="expression" dxfId="1432" priority="83">
      <formula>$A33=3</formula>
    </cfRule>
    <cfRule type="expression" dxfId="1431" priority="84">
      <formula>$A33=2</formula>
    </cfRule>
    <cfRule type="expression" dxfId="1430" priority="85">
      <formula>$A33=1</formula>
    </cfRule>
  </conditionalFormatting>
  <conditionalFormatting sqref="J33:J42">
    <cfRule type="expression" dxfId="1429" priority="80">
      <formula>$A33=3</formula>
    </cfRule>
    <cfRule type="expression" dxfId="1428" priority="81">
      <formula>$A33=2</formula>
    </cfRule>
    <cfRule type="expression" dxfId="1427" priority="82">
      <formula>$A33=1</formula>
    </cfRule>
  </conditionalFormatting>
  <conditionalFormatting sqref="J33:J42">
    <cfRule type="expression" dxfId="1426" priority="77">
      <formula>$A33=3</formula>
    </cfRule>
    <cfRule type="expression" dxfId="1425" priority="78">
      <formula>$A33=2</formula>
    </cfRule>
    <cfRule type="expression" dxfId="1424" priority="79">
      <formula>$A33=1</formula>
    </cfRule>
  </conditionalFormatting>
  <conditionalFormatting sqref="J33:J42">
    <cfRule type="expression" dxfId="1423" priority="74">
      <formula>$A33=3</formula>
    </cfRule>
    <cfRule type="expression" dxfId="1422" priority="75">
      <formula>$A33=2</formula>
    </cfRule>
    <cfRule type="expression" dxfId="1421" priority="76">
      <formula>$A33=1</formula>
    </cfRule>
  </conditionalFormatting>
  <conditionalFormatting sqref="J33:J42">
    <cfRule type="expression" dxfId="1420" priority="71">
      <formula>$A33=3</formula>
    </cfRule>
    <cfRule type="expression" dxfId="1419" priority="72">
      <formula>$A33=2</formula>
    </cfRule>
    <cfRule type="expression" dxfId="1418" priority="73">
      <formula>$A33=1</formula>
    </cfRule>
  </conditionalFormatting>
  <conditionalFormatting sqref="J33:J42">
    <cfRule type="expression" dxfId="1417" priority="68">
      <formula>$A33=3</formula>
    </cfRule>
    <cfRule type="expression" dxfId="1416" priority="69">
      <formula>$A33=2</formula>
    </cfRule>
    <cfRule type="expression" dxfId="1415" priority="70">
      <formula>$A33=1</formula>
    </cfRule>
  </conditionalFormatting>
  <conditionalFormatting sqref="J33:J42">
    <cfRule type="expression" dxfId="1414" priority="65">
      <formula>$A33=3</formula>
    </cfRule>
    <cfRule type="expression" dxfId="1413" priority="66">
      <formula>$A33=2</formula>
    </cfRule>
    <cfRule type="expression" dxfId="1412" priority="67">
      <formula>$A33=1</formula>
    </cfRule>
  </conditionalFormatting>
  <conditionalFormatting sqref="J33:J42">
    <cfRule type="expression" dxfId="1411" priority="62">
      <formula>$A33=3</formula>
    </cfRule>
    <cfRule type="expression" dxfId="1410" priority="63">
      <formula>$A33=2</formula>
    </cfRule>
    <cfRule type="expression" dxfId="1409" priority="64">
      <formula>$A33=1</formula>
    </cfRule>
  </conditionalFormatting>
  <conditionalFormatting sqref="J6:J31">
    <cfRule type="expression" dxfId="1408" priority="59">
      <formula>$A6=3</formula>
    </cfRule>
    <cfRule type="expression" dxfId="1407" priority="60">
      <formula>$A6=2</formula>
    </cfRule>
    <cfRule type="expression" dxfId="1406" priority="61">
      <formula>$A6=1</formula>
    </cfRule>
  </conditionalFormatting>
  <conditionalFormatting sqref="J6:J31">
    <cfRule type="expression" dxfId="1405" priority="56">
      <formula>$A6=3</formula>
    </cfRule>
    <cfRule type="expression" dxfId="1404" priority="57">
      <formula>$A6=2</formula>
    </cfRule>
    <cfRule type="expression" dxfId="1403" priority="58">
      <formula>$A6=1</formula>
    </cfRule>
  </conditionalFormatting>
  <conditionalFormatting sqref="J6:J31">
    <cfRule type="expression" dxfId="1402" priority="53">
      <formula>$A6=3</formula>
    </cfRule>
    <cfRule type="expression" dxfId="1401" priority="54">
      <formula>$A6=2</formula>
    </cfRule>
    <cfRule type="expression" dxfId="1400" priority="55">
      <formula>$A6=1</formula>
    </cfRule>
  </conditionalFormatting>
  <conditionalFormatting sqref="J6:J31">
    <cfRule type="expression" dxfId="1399" priority="50">
      <formula>$A6=3</formula>
    </cfRule>
    <cfRule type="expression" dxfId="1398" priority="51">
      <formula>$A6=2</formula>
    </cfRule>
    <cfRule type="expression" dxfId="1397" priority="52">
      <formula>$A6=1</formula>
    </cfRule>
  </conditionalFormatting>
  <conditionalFormatting sqref="J6:J31">
    <cfRule type="expression" dxfId="1396" priority="47">
      <formula>$A6=3</formula>
    </cfRule>
    <cfRule type="expression" dxfId="1395" priority="48">
      <formula>$A6=2</formula>
    </cfRule>
    <cfRule type="expression" dxfId="1394" priority="49">
      <formula>$A6=1</formula>
    </cfRule>
  </conditionalFormatting>
  <conditionalFormatting sqref="J6:J31">
    <cfRule type="expression" dxfId="1393" priority="44">
      <formula>$A6=3</formula>
    </cfRule>
    <cfRule type="expression" dxfId="1392" priority="45">
      <formula>$A6=2</formula>
    </cfRule>
    <cfRule type="expression" dxfId="1391" priority="46">
      <formula>$A6=1</formula>
    </cfRule>
  </conditionalFormatting>
  <conditionalFormatting sqref="J6:J31">
    <cfRule type="expression" dxfId="1390" priority="41">
      <formula>$A6=3</formula>
    </cfRule>
    <cfRule type="expression" dxfId="1389" priority="42">
      <formula>$A6=2</formula>
    </cfRule>
    <cfRule type="expression" dxfId="1388" priority="43">
      <formula>$A6=1</formula>
    </cfRule>
  </conditionalFormatting>
  <conditionalFormatting sqref="J6:J31">
    <cfRule type="expression" dxfId="1387" priority="38">
      <formula>$A6=3</formula>
    </cfRule>
    <cfRule type="expression" dxfId="1386" priority="39">
      <formula>$A6=2</formula>
    </cfRule>
    <cfRule type="expression" dxfId="1385" priority="40">
      <formula>$A6=1</formula>
    </cfRule>
  </conditionalFormatting>
  <conditionalFormatting sqref="J6:J31">
    <cfRule type="expression" dxfId="1384" priority="35">
      <formula>$A6=3</formula>
    </cfRule>
    <cfRule type="expression" dxfId="1383" priority="36">
      <formula>$A6=2</formula>
    </cfRule>
    <cfRule type="expression" dxfId="1382" priority="37">
      <formula>$A6=1</formula>
    </cfRule>
  </conditionalFormatting>
  <conditionalFormatting sqref="J6:J31">
    <cfRule type="expression" dxfId="1381" priority="32">
      <formula>$A6=3</formula>
    </cfRule>
    <cfRule type="expression" dxfId="1380" priority="33">
      <formula>$A6=2</formula>
    </cfRule>
    <cfRule type="expression" dxfId="1379" priority="34">
      <formula>$A6=1</formula>
    </cfRule>
  </conditionalFormatting>
  <conditionalFormatting sqref="AO4">
    <cfRule type="expression" dxfId="1378" priority="31" stopIfTrue="1">
      <formula>#REF!&gt;0</formula>
    </cfRule>
  </conditionalFormatting>
  <conditionalFormatting sqref="AK39">
    <cfRule type="expression" dxfId="1377" priority="29">
      <formula>$A39=2</formula>
    </cfRule>
    <cfRule type="expression" dxfId="1376" priority="30">
      <formula>$A39=1</formula>
    </cfRule>
  </conditionalFormatting>
  <conditionalFormatting sqref="AK39">
    <cfRule type="expression" dxfId="1375" priority="26">
      <formula>$A39=3</formula>
    </cfRule>
    <cfRule type="expression" dxfId="1374" priority="27">
      <formula>$A39=2</formula>
    </cfRule>
    <cfRule type="expression" dxfId="1373" priority="28">
      <formula>$A39=1</formula>
    </cfRule>
  </conditionalFormatting>
  <conditionalFormatting sqref="AK39">
    <cfRule type="expression" dxfId="1372" priority="23">
      <formula>$A39=3</formula>
    </cfRule>
    <cfRule type="expression" dxfId="1371" priority="24">
      <formula>$A39=2</formula>
    </cfRule>
    <cfRule type="expression" dxfId="1370" priority="25">
      <formula>$A39=1</formula>
    </cfRule>
  </conditionalFormatting>
  <conditionalFormatting sqref="AK39">
    <cfRule type="expression" dxfId="1369" priority="21">
      <formula>$A39=3</formula>
    </cfRule>
    <cfRule type="expression" dxfId="1368" priority="22">
      <formula>$A39=2</formula>
    </cfRule>
  </conditionalFormatting>
  <conditionalFormatting sqref="D32:AU32 D43:AU43 D51:AU51">
    <cfRule type="expression" dxfId="1367" priority="19">
      <formula>$A32=2</formula>
    </cfRule>
    <cfRule type="expression" dxfId="1366" priority="20">
      <formula>$A32=1</formula>
    </cfRule>
  </conditionalFormatting>
  <conditionalFormatting sqref="C5">
    <cfRule type="expression" dxfId="1365" priority="13">
      <formula>$B5=3</formula>
    </cfRule>
    <cfRule type="expression" dxfId="1364" priority="14">
      <formula>$B5=2</formula>
    </cfRule>
    <cfRule type="expression" dxfId="1363" priority="15">
      <formula>$B5=1</formula>
    </cfRule>
  </conditionalFormatting>
  <conditionalFormatting sqref="C6:C57">
    <cfRule type="expression" dxfId="1362" priority="11">
      <formula>$A6=2</formula>
    </cfRule>
    <cfRule type="expression" dxfId="1361" priority="12">
      <formula>$A6=1</formula>
    </cfRule>
  </conditionalFormatting>
  <pageMargins left="0" right="0" top="0" bottom="0" header="0" footer="0"/>
  <pageSetup paperSize="9" scale="39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T146"/>
  <sheetViews>
    <sheetView zoomScaleNormal="100" zoomScaleSheetLayoutView="70" workbookViewId="0">
      <pane xSplit="2" ySplit="4" topLeftCell="C5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8.75" customHeight="1"/>
  <cols>
    <col min="1" max="1" width="0" style="160" hidden="1" customWidth="1"/>
    <col min="2" max="2" width="68.5703125" style="160" customWidth="1"/>
    <col min="3" max="4" width="10.7109375" style="161" customWidth="1"/>
    <col min="5" max="5" width="11.140625" style="161" customWidth="1"/>
    <col min="6" max="19" width="9.140625" style="161" customWidth="1"/>
    <col min="20" max="20" width="12.140625" style="211" customWidth="1"/>
    <col min="21" max="16384" width="9.140625" style="163"/>
  </cols>
  <sheetData>
    <row r="1" spans="1:20" ht="26.25" customHeight="1">
      <c r="T1" s="162"/>
    </row>
    <row r="2" spans="1:20" s="164" customFormat="1" ht="89.25" customHeight="1" thickBot="1">
      <c r="A2" s="26"/>
      <c r="B2" s="265" t="s">
        <v>230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</row>
    <row r="3" spans="1:20" s="164" customFormat="1" ht="42" customHeight="1">
      <c r="A3" s="26"/>
      <c r="B3" s="165"/>
      <c r="C3" s="266" t="s">
        <v>231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166"/>
    </row>
    <row r="4" spans="1:20" s="164" customFormat="1" ht="129.75" customHeight="1">
      <c r="A4" s="26"/>
      <c r="B4" s="36" t="s">
        <v>232</v>
      </c>
      <c r="C4" s="167" t="s">
        <v>110</v>
      </c>
      <c r="D4" s="167" t="s">
        <v>237</v>
      </c>
      <c r="E4" s="167" t="s">
        <v>181</v>
      </c>
      <c r="F4" s="167" t="s">
        <v>108</v>
      </c>
      <c r="G4" s="167" t="s">
        <v>194</v>
      </c>
      <c r="H4" s="167" t="s">
        <v>195</v>
      </c>
      <c r="I4" s="170" t="s">
        <v>236</v>
      </c>
      <c r="J4" s="168" t="s">
        <v>175</v>
      </c>
      <c r="K4" s="168" t="s">
        <v>202</v>
      </c>
      <c r="L4" s="168" t="s">
        <v>233</v>
      </c>
      <c r="M4" s="168" t="s">
        <v>171</v>
      </c>
      <c r="N4" s="168" t="s">
        <v>234</v>
      </c>
      <c r="O4" s="169" t="s">
        <v>32</v>
      </c>
      <c r="P4" s="169" t="s">
        <v>40</v>
      </c>
      <c r="Q4" s="169" t="s">
        <v>58</v>
      </c>
      <c r="R4" s="169" t="s">
        <v>62</v>
      </c>
      <c r="S4" s="169" t="s">
        <v>66</v>
      </c>
      <c r="T4" s="37" t="s">
        <v>235</v>
      </c>
    </row>
    <row r="5" spans="1:20" s="171" customFormat="1" ht="21.75" customHeight="1">
      <c r="A5" s="26">
        <v>1</v>
      </c>
      <c r="B5" s="39" t="s">
        <v>8</v>
      </c>
      <c r="C5" s="35">
        <v>0</v>
      </c>
      <c r="D5" s="35">
        <v>0</v>
      </c>
      <c r="E5" s="35">
        <v>0</v>
      </c>
      <c r="F5" s="35">
        <v>0</v>
      </c>
      <c r="G5" s="35">
        <v>146</v>
      </c>
      <c r="H5" s="35">
        <v>0</v>
      </c>
      <c r="I5" s="35">
        <v>0</v>
      </c>
      <c r="J5" s="35">
        <v>15</v>
      </c>
      <c r="K5" s="35">
        <v>7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297</v>
      </c>
      <c r="T5" s="35">
        <v>465</v>
      </c>
    </row>
    <row r="6" spans="1:20" s="175" customFormat="1" ht="18" customHeight="1">
      <c r="A6" s="26"/>
      <c r="B6" s="172" t="s">
        <v>191</v>
      </c>
      <c r="C6" s="173"/>
      <c r="D6" s="173"/>
      <c r="E6" s="173"/>
      <c r="F6" s="173"/>
      <c r="G6" s="173">
        <v>146</v>
      </c>
      <c r="H6" s="173"/>
      <c r="I6" s="173"/>
      <c r="J6" s="173">
        <v>10</v>
      </c>
      <c r="K6" s="173">
        <v>7</v>
      </c>
      <c r="L6" s="173"/>
      <c r="M6" s="173"/>
      <c r="N6" s="173"/>
      <c r="O6" s="173"/>
      <c r="P6" s="173"/>
      <c r="Q6" s="173"/>
      <c r="R6" s="173"/>
      <c r="S6" s="173">
        <v>233</v>
      </c>
      <c r="T6" s="178">
        <v>396</v>
      </c>
    </row>
    <row r="7" spans="1:20" s="176" customFormat="1" ht="18" customHeight="1">
      <c r="A7" s="26"/>
      <c r="B7" s="172" t="s">
        <v>238</v>
      </c>
      <c r="C7" s="173"/>
      <c r="D7" s="173"/>
      <c r="E7" s="173"/>
      <c r="F7" s="173"/>
      <c r="G7" s="173"/>
      <c r="H7" s="173"/>
      <c r="I7" s="173"/>
      <c r="J7" s="173">
        <v>5</v>
      </c>
      <c r="K7" s="173"/>
      <c r="L7" s="173"/>
      <c r="M7" s="173"/>
      <c r="N7" s="173"/>
      <c r="O7" s="173"/>
      <c r="P7" s="173"/>
      <c r="Q7" s="173"/>
      <c r="R7" s="173"/>
      <c r="S7" s="173">
        <v>64</v>
      </c>
      <c r="T7" s="178">
        <v>69</v>
      </c>
    </row>
    <row r="8" spans="1:20" s="177" customFormat="1" ht="18" customHeight="1">
      <c r="A8" s="26">
        <v>1</v>
      </c>
      <c r="B8" s="39" t="s">
        <v>129</v>
      </c>
      <c r="C8" s="35">
        <v>0</v>
      </c>
      <c r="D8" s="35">
        <v>0</v>
      </c>
      <c r="E8" s="35">
        <v>0</v>
      </c>
      <c r="F8" s="35">
        <v>0</v>
      </c>
      <c r="G8" s="35">
        <v>30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86</v>
      </c>
      <c r="T8" s="35">
        <v>116</v>
      </c>
    </row>
    <row r="9" spans="1:20" s="179" customFormat="1" ht="18" customHeight="1">
      <c r="A9" s="26"/>
      <c r="B9" s="172" t="s">
        <v>191</v>
      </c>
      <c r="C9" s="52"/>
      <c r="D9" s="52"/>
      <c r="E9" s="52"/>
      <c r="F9" s="52"/>
      <c r="G9" s="52">
        <v>30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>
        <v>46</v>
      </c>
      <c r="T9" s="178">
        <v>76</v>
      </c>
    </row>
    <row r="10" spans="1:20" s="180" customFormat="1" ht="18" customHeight="1">
      <c r="A10" s="26"/>
      <c r="B10" s="172" t="s">
        <v>238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>
        <v>40</v>
      </c>
      <c r="T10" s="178">
        <v>40</v>
      </c>
    </row>
    <row r="11" spans="1:20" s="181" customFormat="1" ht="18" customHeight="1">
      <c r="A11" s="26">
        <v>1</v>
      </c>
      <c r="B11" s="39" t="s">
        <v>26</v>
      </c>
      <c r="C11" s="35">
        <v>48</v>
      </c>
      <c r="D11" s="35">
        <v>45</v>
      </c>
      <c r="E11" s="35">
        <v>0</v>
      </c>
      <c r="F11" s="35">
        <v>0</v>
      </c>
      <c r="G11" s="35">
        <v>110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80</v>
      </c>
      <c r="S11" s="35">
        <v>0</v>
      </c>
      <c r="T11" s="35">
        <v>283</v>
      </c>
    </row>
    <row r="12" spans="1:20" s="182" customFormat="1" ht="18" customHeight="1">
      <c r="A12" s="26"/>
      <c r="B12" s="172" t="s">
        <v>191</v>
      </c>
      <c r="C12" s="52">
        <v>34</v>
      </c>
      <c r="D12" s="52">
        <v>32</v>
      </c>
      <c r="E12" s="52"/>
      <c r="F12" s="52"/>
      <c r="G12" s="52">
        <v>110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80</v>
      </c>
      <c r="S12" s="52"/>
      <c r="T12" s="178">
        <v>256</v>
      </c>
    </row>
    <row r="13" spans="1:20" s="182" customFormat="1" ht="18" customHeight="1">
      <c r="A13" s="26"/>
      <c r="B13" s="172" t="s">
        <v>238</v>
      </c>
      <c r="C13" s="52">
        <v>14</v>
      </c>
      <c r="D13" s="52">
        <v>13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178">
        <v>27</v>
      </c>
    </row>
    <row r="14" spans="1:20" s="183" customFormat="1" ht="18" customHeight="1">
      <c r="A14" s="26">
        <v>1</v>
      </c>
      <c r="B14" s="39" t="s">
        <v>239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120</v>
      </c>
      <c r="K14" s="35">
        <v>85</v>
      </c>
      <c r="L14" s="35">
        <v>0</v>
      </c>
      <c r="M14" s="35">
        <v>0</v>
      </c>
      <c r="N14" s="35">
        <v>15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220</v>
      </c>
    </row>
    <row r="15" spans="1:20" s="184" customFormat="1" ht="18" customHeight="1">
      <c r="A15" s="26"/>
      <c r="B15" s="172" t="s">
        <v>191</v>
      </c>
      <c r="C15" s="52"/>
      <c r="D15" s="52"/>
      <c r="E15" s="52"/>
      <c r="F15" s="52"/>
      <c r="G15" s="52"/>
      <c r="H15" s="52"/>
      <c r="I15" s="52"/>
      <c r="J15" s="52">
        <v>100</v>
      </c>
      <c r="K15" s="52">
        <v>73</v>
      </c>
      <c r="L15" s="52"/>
      <c r="M15" s="52"/>
      <c r="N15" s="52">
        <v>13</v>
      </c>
      <c r="O15" s="52"/>
      <c r="P15" s="52"/>
      <c r="Q15" s="52"/>
      <c r="R15" s="52"/>
      <c r="S15" s="52"/>
      <c r="T15" s="178">
        <v>186</v>
      </c>
    </row>
    <row r="16" spans="1:20" s="184" customFormat="1" ht="18" customHeight="1">
      <c r="A16" s="26"/>
      <c r="B16" s="172" t="s">
        <v>238</v>
      </c>
      <c r="C16" s="52"/>
      <c r="D16" s="52"/>
      <c r="E16" s="52"/>
      <c r="F16" s="52"/>
      <c r="G16" s="52"/>
      <c r="H16" s="52"/>
      <c r="I16" s="52"/>
      <c r="J16" s="52">
        <v>20</v>
      </c>
      <c r="K16" s="52">
        <v>12</v>
      </c>
      <c r="L16" s="52"/>
      <c r="M16" s="52"/>
      <c r="N16" s="52">
        <v>2</v>
      </c>
      <c r="O16" s="52"/>
      <c r="P16" s="52"/>
      <c r="Q16" s="52"/>
      <c r="R16" s="52"/>
      <c r="S16" s="52"/>
      <c r="T16" s="178">
        <v>34</v>
      </c>
    </row>
    <row r="17" spans="1:20" s="171" customFormat="1" ht="18" customHeight="1">
      <c r="A17" s="26">
        <v>1</v>
      </c>
      <c r="B17" s="39" t="s">
        <v>30</v>
      </c>
      <c r="C17" s="35">
        <v>0</v>
      </c>
      <c r="D17" s="35">
        <v>0</v>
      </c>
      <c r="E17" s="35">
        <v>85</v>
      </c>
      <c r="F17" s="35">
        <v>0</v>
      </c>
      <c r="G17" s="35">
        <v>92</v>
      </c>
      <c r="H17" s="35">
        <v>31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208</v>
      </c>
    </row>
    <row r="18" spans="1:20" s="46" customFormat="1" ht="18" customHeight="1">
      <c r="A18" s="26"/>
      <c r="B18" s="172" t="s">
        <v>191</v>
      </c>
      <c r="C18" s="52"/>
      <c r="D18" s="52"/>
      <c r="E18" s="52">
        <v>25</v>
      </c>
      <c r="F18" s="52"/>
      <c r="G18" s="52">
        <v>92</v>
      </c>
      <c r="H18" s="52">
        <v>22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178">
        <v>139</v>
      </c>
    </row>
    <row r="19" spans="1:20" s="46" customFormat="1" ht="18" customHeight="1">
      <c r="A19" s="26"/>
      <c r="B19" s="172" t="s">
        <v>238</v>
      </c>
      <c r="C19" s="52"/>
      <c r="D19" s="52"/>
      <c r="E19" s="52">
        <v>60</v>
      </c>
      <c r="F19" s="52"/>
      <c r="G19" s="52"/>
      <c r="H19" s="52">
        <v>9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178">
        <v>69</v>
      </c>
    </row>
    <row r="20" spans="1:20" s="171" customFormat="1" ht="18" customHeight="1">
      <c r="A20" s="26">
        <v>1</v>
      </c>
      <c r="B20" s="39" t="s">
        <v>133</v>
      </c>
      <c r="C20" s="35">
        <v>0</v>
      </c>
      <c r="D20" s="35">
        <v>0</v>
      </c>
      <c r="E20" s="35">
        <v>319</v>
      </c>
      <c r="F20" s="35">
        <v>0</v>
      </c>
      <c r="G20" s="35">
        <v>158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3003</v>
      </c>
      <c r="P20" s="35">
        <v>0</v>
      </c>
      <c r="Q20" s="35">
        <v>0</v>
      </c>
      <c r="R20" s="35">
        <v>0</v>
      </c>
      <c r="S20" s="35">
        <v>0</v>
      </c>
      <c r="T20" s="35">
        <v>3480</v>
      </c>
    </row>
    <row r="21" spans="1:20" s="46" customFormat="1" ht="18" customHeight="1">
      <c r="A21" s="26"/>
      <c r="B21" s="172" t="s">
        <v>191</v>
      </c>
      <c r="C21" s="44"/>
      <c r="D21" s="44"/>
      <c r="E21" s="44">
        <v>281</v>
      </c>
      <c r="F21" s="44"/>
      <c r="G21" s="44">
        <v>158</v>
      </c>
      <c r="H21" s="44"/>
      <c r="I21" s="44"/>
      <c r="J21" s="44"/>
      <c r="K21" s="44"/>
      <c r="L21" s="44"/>
      <c r="M21" s="44"/>
      <c r="N21" s="44"/>
      <c r="O21" s="44">
        <v>2232</v>
      </c>
      <c r="P21" s="44"/>
      <c r="Q21" s="44"/>
      <c r="R21" s="44"/>
      <c r="S21" s="44"/>
      <c r="T21" s="178">
        <v>2671</v>
      </c>
    </row>
    <row r="22" spans="1:20" s="46" customFormat="1" ht="18" customHeight="1">
      <c r="A22" s="26"/>
      <c r="B22" s="172" t="s">
        <v>238</v>
      </c>
      <c r="C22" s="44"/>
      <c r="D22" s="44"/>
      <c r="E22" s="44">
        <v>38</v>
      </c>
      <c r="F22" s="44"/>
      <c r="G22" s="44"/>
      <c r="H22" s="44"/>
      <c r="I22" s="44"/>
      <c r="J22" s="44"/>
      <c r="K22" s="44"/>
      <c r="L22" s="44"/>
      <c r="M22" s="44"/>
      <c r="N22" s="44"/>
      <c r="O22" s="44">
        <v>771</v>
      </c>
      <c r="P22" s="44"/>
      <c r="Q22" s="44"/>
      <c r="R22" s="44"/>
      <c r="S22" s="44"/>
      <c r="T22" s="178">
        <v>809</v>
      </c>
    </row>
    <row r="23" spans="1:20" s="171" customFormat="1" ht="18" customHeight="1">
      <c r="A23" s="26">
        <v>1</v>
      </c>
      <c r="B23" s="39" t="s">
        <v>135</v>
      </c>
      <c r="C23" s="35">
        <v>50</v>
      </c>
      <c r="D23" s="35">
        <v>136</v>
      </c>
      <c r="E23" s="35">
        <v>0</v>
      </c>
      <c r="F23" s="35">
        <v>0</v>
      </c>
      <c r="G23" s="35">
        <v>150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336</v>
      </c>
    </row>
    <row r="24" spans="1:20" s="46" customFormat="1" ht="18" customHeight="1">
      <c r="A24" s="26"/>
      <c r="B24" s="172" t="s">
        <v>191</v>
      </c>
      <c r="C24" s="44">
        <v>40</v>
      </c>
      <c r="D24" s="44">
        <v>118</v>
      </c>
      <c r="E24" s="44"/>
      <c r="F24" s="44"/>
      <c r="G24" s="44">
        <v>150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178">
        <v>308</v>
      </c>
    </row>
    <row r="25" spans="1:20" s="46" customFormat="1" ht="18" customHeight="1">
      <c r="A25" s="26"/>
      <c r="B25" s="172" t="s">
        <v>238</v>
      </c>
      <c r="C25" s="44">
        <v>10</v>
      </c>
      <c r="D25" s="44">
        <v>18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178">
        <v>28</v>
      </c>
    </row>
    <row r="26" spans="1:20" s="171" customFormat="1" ht="18" customHeight="1">
      <c r="A26" s="26">
        <v>1</v>
      </c>
      <c r="B26" s="39" t="s">
        <v>36</v>
      </c>
      <c r="C26" s="35">
        <v>0</v>
      </c>
      <c r="D26" s="35">
        <v>0</v>
      </c>
      <c r="E26" s="35">
        <v>210</v>
      </c>
      <c r="F26" s="35">
        <v>10</v>
      </c>
      <c r="G26" s="35">
        <v>167</v>
      </c>
      <c r="H26" s="35">
        <v>41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428</v>
      </c>
    </row>
    <row r="27" spans="1:20" s="184" customFormat="1" ht="18" customHeight="1">
      <c r="A27" s="26"/>
      <c r="B27" s="172" t="s">
        <v>191</v>
      </c>
      <c r="C27" s="185"/>
      <c r="D27" s="185"/>
      <c r="E27" s="186">
        <v>150</v>
      </c>
      <c r="F27" s="185">
        <v>10</v>
      </c>
      <c r="G27" s="185">
        <v>167</v>
      </c>
      <c r="H27" s="173">
        <v>25</v>
      </c>
      <c r="I27" s="173"/>
      <c r="J27" s="173"/>
      <c r="K27" s="173"/>
      <c r="L27" s="187"/>
      <c r="M27" s="187"/>
      <c r="N27" s="187"/>
      <c r="O27" s="185"/>
      <c r="P27" s="185"/>
      <c r="Q27" s="185"/>
      <c r="R27" s="185"/>
      <c r="S27" s="187"/>
      <c r="T27" s="178">
        <v>352</v>
      </c>
    </row>
    <row r="28" spans="1:20" s="184" customFormat="1" ht="18" customHeight="1">
      <c r="A28" s="26"/>
      <c r="B28" s="172" t="s">
        <v>238</v>
      </c>
      <c r="C28" s="185"/>
      <c r="D28" s="185"/>
      <c r="E28" s="185">
        <v>60</v>
      </c>
      <c r="F28" s="185"/>
      <c r="G28" s="185"/>
      <c r="H28" s="185">
        <v>16</v>
      </c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78">
        <v>76</v>
      </c>
    </row>
    <row r="29" spans="1:20" s="171" customFormat="1" ht="18" customHeight="1">
      <c r="A29" s="26">
        <v>1</v>
      </c>
      <c r="B29" s="39" t="s">
        <v>38</v>
      </c>
      <c r="C29" s="35">
        <v>12</v>
      </c>
      <c r="D29" s="35">
        <v>3</v>
      </c>
      <c r="E29" s="35">
        <v>524</v>
      </c>
      <c r="F29" s="35">
        <v>18</v>
      </c>
      <c r="G29" s="35">
        <v>693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1250</v>
      </c>
    </row>
    <row r="30" spans="1:20" s="184" customFormat="1" ht="18" customHeight="1">
      <c r="A30" s="26"/>
      <c r="B30" s="172" t="s">
        <v>191</v>
      </c>
      <c r="C30" s="188">
        <v>6</v>
      </c>
      <c r="D30" s="188">
        <v>3</v>
      </c>
      <c r="E30" s="188">
        <v>418</v>
      </c>
      <c r="F30" s="188">
        <v>16</v>
      </c>
      <c r="G30" s="188">
        <v>693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78">
        <v>1136</v>
      </c>
    </row>
    <row r="31" spans="1:20" s="184" customFormat="1" ht="18" customHeight="1">
      <c r="A31" s="26"/>
      <c r="B31" s="172" t="s">
        <v>238</v>
      </c>
      <c r="C31" s="188">
        <v>6</v>
      </c>
      <c r="D31" s="188"/>
      <c r="E31" s="188">
        <v>106</v>
      </c>
      <c r="F31" s="188">
        <v>2</v>
      </c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78">
        <v>114</v>
      </c>
    </row>
    <row r="32" spans="1:20" s="171" customFormat="1" ht="18" customHeight="1">
      <c r="A32" s="26">
        <v>1</v>
      </c>
      <c r="B32" s="39" t="s">
        <v>40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505</v>
      </c>
      <c r="Q32" s="35">
        <v>0</v>
      </c>
      <c r="R32" s="35">
        <v>0</v>
      </c>
      <c r="S32" s="35">
        <v>0</v>
      </c>
      <c r="T32" s="35">
        <v>505</v>
      </c>
    </row>
    <row r="33" spans="1:20" s="46" customFormat="1" ht="18" customHeight="1">
      <c r="A33" s="26"/>
      <c r="B33" s="172" t="s">
        <v>191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>
        <v>493</v>
      </c>
      <c r="Q33" s="52"/>
      <c r="R33" s="52"/>
      <c r="S33" s="52"/>
      <c r="T33" s="178">
        <v>493</v>
      </c>
    </row>
    <row r="34" spans="1:20" s="46" customFormat="1" ht="18" customHeight="1">
      <c r="A34" s="26"/>
      <c r="B34" s="172" t="s">
        <v>238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>
        <v>12</v>
      </c>
      <c r="Q34" s="52"/>
      <c r="R34" s="52"/>
      <c r="S34" s="52"/>
      <c r="T34" s="178">
        <v>12</v>
      </c>
    </row>
    <row r="35" spans="1:20" s="189" customFormat="1" ht="18" customHeight="1">
      <c r="A35" s="26">
        <v>1</v>
      </c>
      <c r="B35" s="39" t="s">
        <v>42</v>
      </c>
      <c r="C35" s="35">
        <v>81</v>
      </c>
      <c r="D35" s="35">
        <v>181</v>
      </c>
      <c r="E35" s="35">
        <v>136</v>
      </c>
      <c r="F35" s="35">
        <v>15</v>
      </c>
      <c r="G35" s="35">
        <v>471</v>
      </c>
      <c r="H35" s="35">
        <v>220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1104</v>
      </c>
    </row>
    <row r="36" spans="1:20" s="184" customFormat="1" ht="18" customHeight="1">
      <c r="A36" s="26"/>
      <c r="B36" s="172" t="s">
        <v>191</v>
      </c>
      <c r="C36" s="52">
        <v>53</v>
      </c>
      <c r="D36" s="52">
        <v>152</v>
      </c>
      <c r="E36" s="52">
        <v>96</v>
      </c>
      <c r="F36" s="52">
        <v>4</v>
      </c>
      <c r="G36" s="52">
        <v>471</v>
      </c>
      <c r="H36" s="52">
        <v>200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178">
        <v>976</v>
      </c>
    </row>
    <row r="37" spans="1:20" s="184" customFormat="1" ht="18" customHeight="1">
      <c r="A37" s="26"/>
      <c r="B37" s="172" t="s">
        <v>238</v>
      </c>
      <c r="C37" s="52">
        <v>28</v>
      </c>
      <c r="D37" s="52">
        <v>29</v>
      </c>
      <c r="E37" s="52">
        <v>40</v>
      </c>
      <c r="F37" s="52">
        <v>11</v>
      </c>
      <c r="G37" s="52"/>
      <c r="H37" s="52">
        <v>20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178">
        <v>128</v>
      </c>
    </row>
    <row r="38" spans="1:20" s="190" customFormat="1" ht="18" customHeight="1">
      <c r="A38" s="26">
        <v>1</v>
      </c>
      <c r="B38" s="39" t="s">
        <v>44</v>
      </c>
      <c r="C38" s="35">
        <v>1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88</v>
      </c>
      <c r="K38" s="35">
        <v>155</v>
      </c>
      <c r="L38" s="35">
        <v>0</v>
      </c>
      <c r="M38" s="35">
        <v>0</v>
      </c>
      <c r="N38" s="35">
        <v>14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258</v>
      </c>
    </row>
    <row r="39" spans="1:20" s="191" customFormat="1" ht="18" customHeight="1">
      <c r="A39" s="26"/>
      <c r="B39" s="172" t="s">
        <v>191</v>
      </c>
      <c r="C39" s="52">
        <v>1</v>
      </c>
      <c r="D39" s="52"/>
      <c r="E39" s="52"/>
      <c r="F39" s="52"/>
      <c r="G39" s="52"/>
      <c r="H39" s="52"/>
      <c r="I39" s="52"/>
      <c r="J39" s="52">
        <v>50</v>
      </c>
      <c r="K39" s="52">
        <v>100</v>
      </c>
      <c r="L39" s="52"/>
      <c r="M39" s="52"/>
      <c r="N39" s="52">
        <v>12</v>
      </c>
      <c r="O39" s="52"/>
      <c r="P39" s="52"/>
      <c r="Q39" s="52"/>
      <c r="R39" s="52"/>
      <c r="S39" s="52"/>
      <c r="T39" s="178">
        <v>163</v>
      </c>
    </row>
    <row r="40" spans="1:20" s="191" customFormat="1" ht="18" customHeight="1">
      <c r="A40" s="26"/>
      <c r="B40" s="172" t="s">
        <v>238</v>
      </c>
      <c r="C40" s="52"/>
      <c r="D40" s="52"/>
      <c r="E40" s="52"/>
      <c r="F40" s="52"/>
      <c r="G40" s="52"/>
      <c r="H40" s="52"/>
      <c r="I40" s="52"/>
      <c r="J40" s="52">
        <v>38</v>
      </c>
      <c r="K40" s="52">
        <v>55</v>
      </c>
      <c r="L40" s="52"/>
      <c r="M40" s="52"/>
      <c r="N40" s="52">
        <v>2</v>
      </c>
      <c r="O40" s="52"/>
      <c r="P40" s="52"/>
      <c r="Q40" s="52"/>
      <c r="R40" s="52"/>
      <c r="S40" s="52"/>
      <c r="T40" s="178">
        <v>95</v>
      </c>
    </row>
    <row r="41" spans="1:20" s="190" customFormat="1" ht="18" customHeight="1">
      <c r="A41" s="26">
        <v>1</v>
      </c>
      <c r="B41" s="39" t="s">
        <v>46</v>
      </c>
      <c r="C41" s="35">
        <v>20</v>
      </c>
      <c r="D41" s="35">
        <v>94</v>
      </c>
      <c r="E41" s="35">
        <v>63</v>
      </c>
      <c r="F41" s="35">
        <v>7</v>
      </c>
      <c r="G41" s="35">
        <v>176</v>
      </c>
      <c r="H41" s="35">
        <v>51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411</v>
      </c>
    </row>
    <row r="42" spans="1:20" s="191" customFormat="1" ht="18" customHeight="1">
      <c r="A42" s="26"/>
      <c r="B42" s="172" t="s">
        <v>191</v>
      </c>
      <c r="C42" s="52">
        <v>18</v>
      </c>
      <c r="D42" s="52">
        <v>76</v>
      </c>
      <c r="E42" s="52">
        <v>14</v>
      </c>
      <c r="F42" s="52">
        <v>5</v>
      </c>
      <c r="G42" s="52">
        <v>176</v>
      </c>
      <c r="H42" s="52">
        <v>45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178">
        <v>334</v>
      </c>
    </row>
    <row r="43" spans="1:20" s="191" customFormat="1" ht="18" customHeight="1">
      <c r="A43" s="26"/>
      <c r="B43" s="172" t="s">
        <v>238</v>
      </c>
      <c r="C43" s="52">
        <v>2</v>
      </c>
      <c r="D43" s="52">
        <v>18</v>
      </c>
      <c r="E43" s="52">
        <v>49</v>
      </c>
      <c r="F43" s="52">
        <v>2</v>
      </c>
      <c r="G43" s="52"/>
      <c r="H43" s="52">
        <v>6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178">
        <v>77</v>
      </c>
    </row>
    <row r="44" spans="1:20" s="171" customFormat="1" ht="18" customHeight="1">
      <c r="A44" s="26">
        <v>1</v>
      </c>
      <c r="B44" s="39" t="s">
        <v>137</v>
      </c>
      <c r="C44" s="35">
        <v>13</v>
      </c>
      <c r="D44" s="35">
        <v>32</v>
      </c>
      <c r="E44" s="35">
        <v>139</v>
      </c>
      <c r="F44" s="35">
        <v>7</v>
      </c>
      <c r="G44" s="35">
        <v>70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365</v>
      </c>
      <c r="P44" s="35">
        <v>0</v>
      </c>
      <c r="Q44" s="35">
        <v>0</v>
      </c>
      <c r="R44" s="35">
        <v>0</v>
      </c>
      <c r="S44" s="35">
        <v>0</v>
      </c>
      <c r="T44" s="35">
        <v>626</v>
      </c>
    </row>
    <row r="45" spans="1:20" s="46" customFormat="1" ht="18" customHeight="1">
      <c r="A45" s="26"/>
      <c r="B45" s="172" t="s">
        <v>191</v>
      </c>
      <c r="C45" s="52">
        <v>9</v>
      </c>
      <c r="D45" s="52">
        <v>26</v>
      </c>
      <c r="E45" s="52">
        <v>65</v>
      </c>
      <c r="F45" s="52">
        <v>7</v>
      </c>
      <c r="G45" s="52">
        <v>70</v>
      </c>
      <c r="H45" s="52"/>
      <c r="I45" s="52"/>
      <c r="J45" s="52"/>
      <c r="K45" s="52"/>
      <c r="L45" s="52"/>
      <c r="M45" s="52"/>
      <c r="N45" s="52"/>
      <c r="O45" s="52">
        <v>320</v>
      </c>
      <c r="P45" s="52"/>
      <c r="Q45" s="52"/>
      <c r="R45" s="52"/>
      <c r="S45" s="52"/>
      <c r="T45" s="178">
        <v>497</v>
      </c>
    </row>
    <row r="46" spans="1:20" s="46" customFormat="1" ht="18" customHeight="1">
      <c r="A46" s="26"/>
      <c r="B46" s="172" t="s">
        <v>238</v>
      </c>
      <c r="C46" s="52">
        <v>4</v>
      </c>
      <c r="D46" s="52">
        <v>6</v>
      </c>
      <c r="E46" s="52">
        <v>74</v>
      </c>
      <c r="F46" s="52"/>
      <c r="G46" s="52"/>
      <c r="H46" s="52"/>
      <c r="I46" s="52"/>
      <c r="J46" s="52"/>
      <c r="K46" s="52"/>
      <c r="L46" s="52"/>
      <c r="M46" s="52"/>
      <c r="N46" s="52"/>
      <c r="O46" s="52">
        <v>45</v>
      </c>
      <c r="P46" s="52"/>
      <c r="Q46" s="52"/>
      <c r="R46" s="52"/>
      <c r="S46" s="52"/>
      <c r="T46" s="178">
        <v>129</v>
      </c>
    </row>
    <row r="47" spans="1:20" s="190" customFormat="1" ht="18" customHeight="1">
      <c r="A47" s="26">
        <v>1</v>
      </c>
      <c r="B47" s="39" t="s">
        <v>240</v>
      </c>
      <c r="C47" s="35">
        <v>0</v>
      </c>
      <c r="D47" s="35">
        <v>0</v>
      </c>
      <c r="E47" s="35">
        <v>39</v>
      </c>
      <c r="F47" s="35">
        <v>18</v>
      </c>
      <c r="G47" s="35">
        <v>31</v>
      </c>
      <c r="H47" s="35">
        <v>51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139</v>
      </c>
    </row>
    <row r="48" spans="1:20" s="192" customFormat="1" ht="18" customHeight="1">
      <c r="A48" s="26"/>
      <c r="B48" s="172" t="s">
        <v>191</v>
      </c>
      <c r="C48" s="52"/>
      <c r="D48" s="52"/>
      <c r="E48" s="52">
        <v>6</v>
      </c>
      <c r="F48" s="52">
        <v>15</v>
      </c>
      <c r="G48" s="52">
        <v>31</v>
      </c>
      <c r="H48" s="52">
        <v>45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178">
        <v>97</v>
      </c>
    </row>
    <row r="49" spans="1:20" s="192" customFormat="1" ht="18" customHeight="1">
      <c r="A49" s="26"/>
      <c r="B49" s="172" t="s">
        <v>238</v>
      </c>
      <c r="C49" s="52"/>
      <c r="D49" s="52"/>
      <c r="E49" s="52">
        <v>33</v>
      </c>
      <c r="F49" s="52">
        <v>3</v>
      </c>
      <c r="G49" s="52"/>
      <c r="H49" s="52">
        <v>6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178">
        <v>42</v>
      </c>
    </row>
    <row r="50" spans="1:20" s="171" customFormat="1" ht="18" customHeight="1">
      <c r="A50" s="26">
        <v>1</v>
      </c>
      <c r="B50" s="39" t="s">
        <v>139</v>
      </c>
      <c r="C50" s="35">
        <v>0</v>
      </c>
      <c r="D50" s="35">
        <v>0</v>
      </c>
      <c r="E50" s="35">
        <v>146</v>
      </c>
      <c r="F50" s="35">
        <v>6</v>
      </c>
      <c r="G50" s="35">
        <v>119</v>
      </c>
      <c r="H50" s="35">
        <v>94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144</v>
      </c>
      <c r="P50" s="35">
        <v>0</v>
      </c>
      <c r="Q50" s="35">
        <v>0</v>
      </c>
      <c r="R50" s="35">
        <v>0</v>
      </c>
      <c r="S50" s="35">
        <v>0</v>
      </c>
      <c r="T50" s="35">
        <v>509</v>
      </c>
    </row>
    <row r="51" spans="1:20" s="49" customFormat="1" ht="18" customHeight="1">
      <c r="A51" s="26"/>
      <c r="B51" s="172" t="s">
        <v>191</v>
      </c>
      <c r="C51" s="44"/>
      <c r="D51" s="44"/>
      <c r="E51" s="193">
        <v>82</v>
      </c>
      <c r="F51" s="44">
        <v>4</v>
      </c>
      <c r="G51" s="44">
        <v>119</v>
      </c>
      <c r="H51" s="193">
        <v>90</v>
      </c>
      <c r="I51" s="193"/>
      <c r="J51" s="193"/>
      <c r="K51" s="193"/>
      <c r="L51" s="193"/>
      <c r="M51" s="193"/>
      <c r="N51" s="193"/>
      <c r="O51" s="44">
        <v>130</v>
      </c>
      <c r="P51" s="44"/>
      <c r="Q51" s="44"/>
      <c r="R51" s="44"/>
      <c r="S51" s="193"/>
      <c r="T51" s="178">
        <v>425</v>
      </c>
    </row>
    <row r="52" spans="1:20" s="49" customFormat="1" ht="18" customHeight="1">
      <c r="A52" s="26"/>
      <c r="B52" s="172" t="s">
        <v>238</v>
      </c>
      <c r="C52" s="44"/>
      <c r="D52" s="44"/>
      <c r="E52" s="44">
        <v>64</v>
      </c>
      <c r="F52" s="44">
        <v>2</v>
      </c>
      <c r="G52" s="44"/>
      <c r="H52" s="44">
        <v>4</v>
      </c>
      <c r="I52" s="44"/>
      <c r="J52" s="44"/>
      <c r="K52" s="44"/>
      <c r="L52" s="44"/>
      <c r="M52" s="44"/>
      <c r="N52" s="44"/>
      <c r="O52" s="44">
        <v>14</v>
      </c>
      <c r="P52" s="44"/>
      <c r="Q52" s="44"/>
      <c r="R52" s="44"/>
      <c r="S52" s="44"/>
      <c r="T52" s="178">
        <v>84</v>
      </c>
    </row>
    <row r="53" spans="1:20" s="171" customFormat="1" ht="18" customHeight="1">
      <c r="A53" s="26">
        <v>1</v>
      </c>
      <c r="B53" s="39" t="s">
        <v>54</v>
      </c>
      <c r="C53" s="35">
        <v>6</v>
      </c>
      <c r="D53" s="35">
        <v>104</v>
      </c>
      <c r="E53" s="35">
        <v>0</v>
      </c>
      <c r="F53" s="35">
        <v>0</v>
      </c>
      <c r="G53" s="35">
        <v>17</v>
      </c>
      <c r="H53" s="35">
        <v>67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70</v>
      </c>
      <c r="S53" s="35">
        <v>0</v>
      </c>
      <c r="T53" s="35">
        <v>264</v>
      </c>
    </row>
    <row r="54" spans="1:20" s="49" customFormat="1" ht="18" customHeight="1">
      <c r="A54" s="26"/>
      <c r="B54" s="172" t="s">
        <v>191</v>
      </c>
      <c r="C54" s="188">
        <v>6</v>
      </c>
      <c r="D54" s="188">
        <v>88</v>
      </c>
      <c r="E54" s="188"/>
      <c r="F54" s="188"/>
      <c r="G54" s="188">
        <v>17</v>
      </c>
      <c r="H54" s="188">
        <v>60</v>
      </c>
      <c r="I54" s="188"/>
      <c r="J54" s="188"/>
      <c r="K54" s="188"/>
      <c r="L54" s="188"/>
      <c r="M54" s="188"/>
      <c r="N54" s="188"/>
      <c r="O54" s="188"/>
      <c r="P54" s="188"/>
      <c r="Q54" s="188"/>
      <c r="R54" s="188">
        <v>70</v>
      </c>
      <c r="S54" s="188"/>
      <c r="T54" s="178">
        <v>241</v>
      </c>
    </row>
    <row r="55" spans="1:20" s="49" customFormat="1" ht="18" customHeight="1">
      <c r="A55" s="26"/>
      <c r="B55" s="172" t="s">
        <v>238</v>
      </c>
      <c r="C55" s="188"/>
      <c r="D55" s="188">
        <v>16</v>
      </c>
      <c r="E55" s="188"/>
      <c r="F55" s="188"/>
      <c r="G55" s="188"/>
      <c r="H55" s="188">
        <v>7</v>
      </c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78">
        <v>23</v>
      </c>
    </row>
    <row r="56" spans="1:20" s="171" customFormat="1" ht="18" customHeight="1">
      <c r="A56" s="26">
        <v>1</v>
      </c>
      <c r="B56" s="39" t="s">
        <v>56</v>
      </c>
      <c r="C56" s="35">
        <v>4</v>
      </c>
      <c r="D56" s="35">
        <v>106</v>
      </c>
      <c r="E56" s="35">
        <v>0</v>
      </c>
      <c r="F56" s="35">
        <v>0</v>
      </c>
      <c r="G56" s="35">
        <v>10</v>
      </c>
      <c r="H56" s="35">
        <v>61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35</v>
      </c>
      <c r="R56" s="35">
        <v>0</v>
      </c>
      <c r="S56" s="35">
        <v>0</v>
      </c>
      <c r="T56" s="35">
        <v>216</v>
      </c>
    </row>
    <row r="57" spans="1:20" s="49" customFormat="1" ht="18" customHeight="1">
      <c r="A57" s="26"/>
      <c r="B57" s="172" t="s">
        <v>191</v>
      </c>
      <c r="C57" s="188">
        <v>3</v>
      </c>
      <c r="D57" s="188">
        <v>94</v>
      </c>
      <c r="E57" s="194"/>
      <c r="F57" s="188"/>
      <c r="G57" s="188">
        <v>10</v>
      </c>
      <c r="H57" s="193">
        <v>50</v>
      </c>
      <c r="I57" s="193"/>
      <c r="J57" s="193"/>
      <c r="K57" s="193"/>
      <c r="L57" s="194"/>
      <c r="M57" s="194"/>
      <c r="N57" s="194"/>
      <c r="O57" s="188"/>
      <c r="P57" s="188"/>
      <c r="Q57" s="188">
        <v>35</v>
      </c>
      <c r="R57" s="188"/>
      <c r="S57" s="194"/>
      <c r="T57" s="178">
        <v>192</v>
      </c>
    </row>
    <row r="58" spans="1:20" s="49" customFormat="1" ht="18" customHeight="1">
      <c r="A58" s="26"/>
      <c r="B58" s="172" t="s">
        <v>238</v>
      </c>
      <c r="C58" s="188">
        <v>1</v>
      </c>
      <c r="D58" s="188">
        <v>12</v>
      </c>
      <c r="E58" s="194"/>
      <c r="F58" s="188"/>
      <c r="G58" s="188"/>
      <c r="H58" s="193">
        <v>11</v>
      </c>
      <c r="I58" s="193"/>
      <c r="J58" s="193"/>
      <c r="K58" s="193"/>
      <c r="L58" s="194"/>
      <c r="M58" s="194"/>
      <c r="N58" s="194"/>
      <c r="O58" s="188"/>
      <c r="P58" s="188"/>
      <c r="Q58" s="188"/>
      <c r="R58" s="188"/>
      <c r="S58" s="194"/>
      <c r="T58" s="178">
        <v>24</v>
      </c>
    </row>
    <row r="59" spans="1:20" s="171" customFormat="1" ht="18" customHeight="1">
      <c r="A59" s="26">
        <v>1</v>
      </c>
      <c r="B59" s="39" t="s">
        <v>141</v>
      </c>
      <c r="C59" s="35">
        <v>10</v>
      </c>
      <c r="D59" s="35">
        <v>0</v>
      </c>
      <c r="E59" s="35">
        <v>20</v>
      </c>
      <c r="F59" s="35">
        <v>0</v>
      </c>
      <c r="G59" s="35">
        <v>241</v>
      </c>
      <c r="H59" s="35">
        <v>307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322</v>
      </c>
      <c r="R59" s="35">
        <v>0</v>
      </c>
      <c r="S59" s="35">
        <v>0</v>
      </c>
      <c r="T59" s="35">
        <v>900</v>
      </c>
    </row>
    <row r="60" spans="1:20" s="46" customFormat="1" ht="18" customHeight="1">
      <c r="A60" s="26"/>
      <c r="B60" s="172" t="s">
        <v>191</v>
      </c>
      <c r="C60" s="44">
        <v>6</v>
      </c>
      <c r="D60" s="44"/>
      <c r="E60" s="44">
        <v>10</v>
      </c>
      <c r="F60" s="44"/>
      <c r="G60" s="44">
        <v>241</v>
      </c>
      <c r="H60" s="44">
        <v>289</v>
      </c>
      <c r="I60" s="44"/>
      <c r="J60" s="44"/>
      <c r="K60" s="44"/>
      <c r="L60" s="44"/>
      <c r="M60" s="44"/>
      <c r="N60" s="44"/>
      <c r="O60" s="44"/>
      <c r="P60" s="44"/>
      <c r="Q60" s="44">
        <v>222</v>
      </c>
      <c r="R60" s="44"/>
      <c r="S60" s="44"/>
      <c r="T60" s="178">
        <v>768</v>
      </c>
    </row>
    <row r="61" spans="1:20" s="46" customFormat="1" ht="18" customHeight="1">
      <c r="A61" s="26"/>
      <c r="B61" s="172" t="s">
        <v>238</v>
      </c>
      <c r="C61" s="44">
        <v>4</v>
      </c>
      <c r="D61" s="44"/>
      <c r="E61" s="44">
        <v>10</v>
      </c>
      <c r="F61" s="44"/>
      <c r="G61" s="44"/>
      <c r="H61" s="44">
        <v>18</v>
      </c>
      <c r="I61" s="44"/>
      <c r="J61" s="44"/>
      <c r="K61" s="44"/>
      <c r="L61" s="44"/>
      <c r="M61" s="44"/>
      <c r="N61" s="44"/>
      <c r="O61" s="44"/>
      <c r="P61" s="44"/>
      <c r="Q61" s="44">
        <v>100</v>
      </c>
      <c r="R61" s="44"/>
      <c r="S61" s="44"/>
      <c r="T61" s="178">
        <v>132</v>
      </c>
    </row>
    <row r="62" spans="1:20" s="190" customFormat="1" ht="18" customHeight="1">
      <c r="A62" s="26">
        <v>1</v>
      </c>
      <c r="B62" s="39" t="s">
        <v>60</v>
      </c>
      <c r="C62" s="35">
        <v>27</v>
      </c>
      <c r="D62" s="35">
        <v>64</v>
      </c>
      <c r="E62" s="35">
        <v>0</v>
      </c>
      <c r="F62" s="35">
        <v>0</v>
      </c>
      <c r="G62" s="35">
        <v>50</v>
      </c>
      <c r="H62" s="35">
        <v>7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58</v>
      </c>
      <c r="S62" s="35">
        <v>0</v>
      </c>
      <c r="T62" s="35">
        <v>206</v>
      </c>
    </row>
    <row r="63" spans="1:20" s="192" customFormat="1" ht="18" customHeight="1">
      <c r="A63" s="26"/>
      <c r="B63" s="172" t="s">
        <v>191</v>
      </c>
      <c r="C63" s="44">
        <v>19</v>
      </c>
      <c r="D63" s="44">
        <v>54</v>
      </c>
      <c r="E63" s="44"/>
      <c r="F63" s="44"/>
      <c r="G63" s="44">
        <v>50</v>
      </c>
      <c r="H63" s="44">
        <v>5</v>
      </c>
      <c r="I63" s="44"/>
      <c r="J63" s="44"/>
      <c r="K63" s="44"/>
      <c r="L63" s="44"/>
      <c r="M63" s="44"/>
      <c r="N63" s="44"/>
      <c r="O63" s="44"/>
      <c r="P63" s="44"/>
      <c r="Q63" s="44"/>
      <c r="R63" s="44">
        <v>58</v>
      </c>
      <c r="S63" s="44"/>
      <c r="T63" s="178">
        <v>186</v>
      </c>
    </row>
    <row r="64" spans="1:20" s="192" customFormat="1" ht="18" customHeight="1">
      <c r="A64" s="26"/>
      <c r="B64" s="172" t="s">
        <v>238</v>
      </c>
      <c r="C64" s="44">
        <v>8</v>
      </c>
      <c r="D64" s="44">
        <v>10</v>
      </c>
      <c r="E64" s="44"/>
      <c r="F64" s="44"/>
      <c r="G64" s="44"/>
      <c r="H64" s="44">
        <v>2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178">
        <v>20</v>
      </c>
    </row>
    <row r="65" spans="1:20" s="171" customFormat="1" ht="18" customHeight="1">
      <c r="A65" s="26">
        <v>1</v>
      </c>
      <c r="B65" s="39" t="s">
        <v>143</v>
      </c>
      <c r="C65" s="35">
        <v>24</v>
      </c>
      <c r="D65" s="35">
        <v>83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913</v>
      </c>
      <c r="S65" s="35">
        <v>0</v>
      </c>
      <c r="T65" s="35">
        <v>1020</v>
      </c>
    </row>
    <row r="66" spans="1:20" s="46" customFormat="1" ht="18" customHeight="1">
      <c r="A66" s="26"/>
      <c r="B66" s="172" t="s">
        <v>191</v>
      </c>
      <c r="C66" s="44">
        <v>12</v>
      </c>
      <c r="D66" s="44">
        <v>59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>
        <v>913</v>
      </c>
      <c r="S66" s="44"/>
      <c r="T66" s="178">
        <v>984</v>
      </c>
    </row>
    <row r="67" spans="1:20" s="46" customFormat="1" ht="18" customHeight="1">
      <c r="A67" s="26"/>
      <c r="B67" s="172" t="s">
        <v>238</v>
      </c>
      <c r="C67" s="44">
        <v>12</v>
      </c>
      <c r="D67" s="44">
        <v>24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178">
        <v>36</v>
      </c>
    </row>
    <row r="68" spans="1:20" s="190" customFormat="1" ht="18" customHeight="1">
      <c r="A68" s="26">
        <v>1</v>
      </c>
      <c r="B68" s="39" t="s">
        <v>145</v>
      </c>
      <c r="C68" s="35">
        <v>50</v>
      </c>
      <c r="D68" s="35">
        <v>80</v>
      </c>
      <c r="E68" s="35">
        <v>0</v>
      </c>
      <c r="F68" s="35">
        <v>0</v>
      </c>
      <c r="G68" s="35">
        <v>14</v>
      </c>
      <c r="H68" s="35">
        <v>56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11</v>
      </c>
      <c r="R68" s="35">
        <v>0</v>
      </c>
      <c r="S68" s="35">
        <v>0</v>
      </c>
      <c r="T68" s="35">
        <v>211</v>
      </c>
    </row>
    <row r="69" spans="1:20" s="192" customFormat="1" ht="18" customHeight="1">
      <c r="A69" s="26"/>
      <c r="B69" s="172" t="s">
        <v>191</v>
      </c>
      <c r="C69" s="44">
        <v>33</v>
      </c>
      <c r="D69" s="44">
        <v>62</v>
      </c>
      <c r="E69" s="44"/>
      <c r="F69" s="44"/>
      <c r="G69" s="44">
        <v>14</v>
      </c>
      <c r="H69" s="44">
        <v>51</v>
      </c>
      <c r="I69" s="44"/>
      <c r="J69" s="44"/>
      <c r="K69" s="44"/>
      <c r="L69" s="44"/>
      <c r="M69" s="44"/>
      <c r="N69" s="44"/>
      <c r="O69" s="44"/>
      <c r="P69" s="44"/>
      <c r="Q69" s="44">
        <v>11</v>
      </c>
      <c r="R69" s="44"/>
      <c r="S69" s="44"/>
      <c r="T69" s="178">
        <v>171</v>
      </c>
    </row>
    <row r="70" spans="1:20" s="192" customFormat="1" ht="18" customHeight="1">
      <c r="A70" s="26"/>
      <c r="B70" s="172" t="s">
        <v>238</v>
      </c>
      <c r="C70" s="44">
        <v>17</v>
      </c>
      <c r="D70" s="44">
        <v>18</v>
      </c>
      <c r="E70" s="44"/>
      <c r="F70" s="44"/>
      <c r="G70" s="44"/>
      <c r="H70" s="44">
        <v>5</v>
      </c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178">
        <v>40</v>
      </c>
    </row>
    <row r="71" spans="1:20" s="171" customFormat="1" ht="18" customHeight="1">
      <c r="A71" s="26">
        <v>1</v>
      </c>
      <c r="B71" s="39" t="s">
        <v>147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389</v>
      </c>
      <c r="T71" s="35">
        <v>389</v>
      </c>
    </row>
    <row r="72" spans="1:20" s="49" customFormat="1" ht="18" customHeight="1">
      <c r="A72" s="26"/>
      <c r="B72" s="172" t="s">
        <v>191</v>
      </c>
      <c r="C72" s="173"/>
      <c r="D72" s="173"/>
      <c r="E72" s="173"/>
      <c r="F72" s="173"/>
      <c r="G72" s="173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>
        <v>335</v>
      </c>
      <c r="T72" s="178">
        <v>335</v>
      </c>
    </row>
    <row r="73" spans="1:20" s="49" customFormat="1" ht="18" customHeight="1">
      <c r="A73" s="26"/>
      <c r="B73" s="172" t="s">
        <v>238</v>
      </c>
      <c r="C73" s="173"/>
      <c r="D73" s="173"/>
      <c r="E73" s="173"/>
      <c r="F73" s="173"/>
      <c r="G73" s="173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>
        <v>54</v>
      </c>
      <c r="T73" s="178">
        <v>54</v>
      </c>
    </row>
    <row r="74" spans="1:20" s="190" customFormat="1" ht="18" customHeight="1">
      <c r="A74" s="26">
        <v>1</v>
      </c>
      <c r="B74" s="39" t="s">
        <v>149</v>
      </c>
      <c r="C74" s="35">
        <v>40</v>
      </c>
      <c r="D74" s="35">
        <v>113</v>
      </c>
      <c r="E74" s="35">
        <v>0</v>
      </c>
      <c r="F74" s="35">
        <v>0</v>
      </c>
      <c r="G74" s="35">
        <v>34</v>
      </c>
      <c r="H74" s="35">
        <v>130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60</v>
      </c>
      <c r="R74" s="35">
        <v>0</v>
      </c>
      <c r="S74" s="35">
        <v>0</v>
      </c>
      <c r="T74" s="35">
        <v>377</v>
      </c>
    </row>
    <row r="75" spans="1:20" s="195" customFormat="1" ht="18" customHeight="1">
      <c r="A75" s="26"/>
      <c r="B75" s="172" t="s">
        <v>191</v>
      </c>
      <c r="C75" s="188">
        <v>26</v>
      </c>
      <c r="D75" s="188">
        <v>87</v>
      </c>
      <c r="E75" s="188"/>
      <c r="F75" s="188"/>
      <c r="G75" s="188">
        <v>34</v>
      </c>
      <c r="H75" s="188">
        <v>130</v>
      </c>
      <c r="I75" s="188"/>
      <c r="J75" s="188"/>
      <c r="K75" s="188"/>
      <c r="L75" s="188"/>
      <c r="M75" s="188"/>
      <c r="N75" s="188"/>
      <c r="O75" s="188"/>
      <c r="P75" s="188"/>
      <c r="Q75" s="188">
        <v>50</v>
      </c>
      <c r="R75" s="188"/>
      <c r="S75" s="188"/>
      <c r="T75" s="178">
        <v>327</v>
      </c>
    </row>
    <row r="76" spans="1:20" s="195" customFormat="1" ht="18" customHeight="1">
      <c r="A76" s="26"/>
      <c r="B76" s="172" t="s">
        <v>238</v>
      </c>
      <c r="C76" s="188">
        <v>14</v>
      </c>
      <c r="D76" s="188">
        <v>26</v>
      </c>
      <c r="E76" s="188"/>
      <c r="F76" s="188"/>
      <c r="G76" s="188"/>
      <c r="H76" s="188">
        <v>0</v>
      </c>
      <c r="I76" s="188"/>
      <c r="J76" s="188"/>
      <c r="K76" s="188"/>
      <c r="L76" s="188"/>
      <c r="M76" s="188"/>
      <c r="N76" s="188"/>
      <c r="O76" s="188"/>
      <c r="P76" s="188"/>
      <c r="Q76" s="188">
        <v>10</v>
      </c>
      <c r="R76" s="188"/>
      <c r="S76" s="188"/>
      <c r="T76" s="178">
        <v>50</v>
      </c>
    </row>
    <row r="77" spans="1:20" s="171" customFormat="1" ht="18" customHeight="1">
      <c r="A77" s="26">
        <v>1</v>
      </c>
      <c r="B77" s="39" t="s">
        <v>151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306</v>
      </c>
      <c r="T77" s="35">
        <v>306</v>
      </c>
    </row>
    <row r="78" spans="1:20" s="46" customFormat="1" ht="18" customHeight="1">
      <c r="A78" s="26"/>
      <c r="B78" s="172" t="s">
        <v>191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>
        <v>264</v>
      </c>
      <c r="T78" s="178">
        <v>264</v>
      </c>
    </row>
    <row r="79" spans="1:20" s="46" customFormat="1" ht="18" customHeight="1">
      <c r="A79" s="26"/>
      <c r="B79" s="172" t="s">
        <v>238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>
        <v>42</v>
      </c>
      <c r="T79" s="178">
        <v>42</v>
      </c>
    </row>
    <row r="80" spans="1:20" s="171" customFormat="1" ht="18" customHeight="1">
      <c r="A80" s="26">
        <v>1</v>
      </c>
      <c r="B80" s="39" t="s">
        <v>153</v>
      </c>
      <c r="C80" s="35">
        <v>1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140</v>
      </c>
      <c r="K80" s="35">
        <v>155</v>
      </c>
      <c r="L80" s="35">
        <v>0</v>
      </c>
      <c r="M80" s="35">
        <v>0</v>
      </c>
      <c r="N80" s="35">
        <v>16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312</v>
      </c>
    </row>
    <row r="81" spans="1:20" s="46" customFormat="1" ht="18" customHeight="1">
      <c r="A81" s="26"/>
      <c r="B81" s="172" t="s">
        <v>191</v>
      </c>
      <c r="C81" s="44">
        <v>1</v>
      </c>
      <c r="D81" s="44"/>
      <c r="E81" s="44"/>
      <c r="F81" s="44"/>
      <c r="G81" s="44"/>
      <c r="H81" s="44"/>
      <c r="I81" s="44"/>
      <c r="J81" s="44">
        <v>70</v>
      </c>
      <c r="K81" s="44">
        <v>120</v>
      </c>
      <c r="L81" s="44"/>
      <c r="M81" s="44"/>
      <c r="N81" s="44">
        <v>13</v>
      </c>
      <c r="O81" s="44"/>
      <c r="P81" s="44"/>
      <c r="Q81" s="44"/>
      <c r="R81" s="44"/>
      <c r="S81" s="44"/>
      <c r="T81" s="178">
        <v>204</v>
      </c>
    </row>
    <row r="82" spans="1:20" s="46" customFormat="1" ht="18" customHeight="1">
      <c r="A82" s="26"/>
      <c r="B82" s="172" t="s">
        <v>238</v>
      </c>
      <c r="C82" s="44"/>
      <c r="D82" s="44"/>
      <c r="E82" s="44"/>
      <c r="F82" s="44"/>
      <c r="G82" s="44"/>
      <c r="H82" s="44"/>
      <c r="I82" s="44"/>
      <c r="J82" s="44">
        <v>70</v>
      </c>
      <c r="K82" s="44">
        <v>35</v>
      </c>
      <c r="L82" s="44"/>
      <c r="M82" s="44"/>
      <c r="N82" s="44">
        <v>3</v>
      </c>
      <c r="O82" s="44"/>
      <c r="P82" s="44"/>
      <c r="Q82" s="44"/>
      <c r="R82" s="44"/>
      <c r="S82" s="44"/>
      <c r="T82" s="178">
        <v>108</v>
      </c>
    </row>
    <row r="83" spans="1:20" s="171" customFormat="1" ht="18" customHeight="1">
      <c r="A83" s="26">
        <v>1</v>
      </c>
      <c r="B83" s="39" t="s">
        <v>155</v>
      </c>
      <c r="C83" s="35">
        <v>250</v>
      </c>
      <c r="D83" s="35">
        <v>39</v>
      </c>
      <c r="E83" s="35">
        <v>601</v>
      </c>
      <c r="F83" s="35">
        <v>0</v>
      </c>
      <c r="G83" s="35">
        <v>471</v>
      </c>
      <c r="H83" s="35">
        <v>59</v>
      </c>
      <c r="I83" s="35">
        <v>723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2143</v>
      </c>
    </row>
    <row r="84" spans="1:20" s="46" customFormat="1" ht="18" customHeight="1">
      <c r="A84" s="26"/>
      <c r="B84" s="172" t="s">
        <v>191</v>
      </c>
      <c r="C84" s="185">
        <v>157</v>
      </c>
      <c r="D84" s="185">
        <v>4</v>
      </c>
      <c r="E84" s="44">
        <v>318</v>
      </c>
      <c r="F84" s="185"/>
      <c r="G84" s="185">
        <v>471</v>
      </c>
      <c r="H84" s="44">
        <v>50</v>
      </c>
      <c r="I84" s="44">
        <v>705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178">
        <v>1705</v>
      </c>
    </row>
    <row r="85" spans="1:20" s="46" customFormat="1" ht="18" customHeight="1">
      <c r="A85" s="26"/>
      <c r="B85" s="172" t="s">
        <v>238</v>
      </c>
      <c r="C85" s="185">
        <v>93</v>
      </c>
      <c r="D85" s="185">
        <v>35</v>
      </c>
      <c r="E85" s="44">
        <v>283</v>
      </c>
      <c r="F85" s="185"/>
      <c r="G85" s="185"/>
      <c r="H85" s="44">
        <v>9</v>
      </c>
      <c r="I85" s="44">
        <v>18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178">
        <v>438</v>
      </c>
    </row>
    <row r="86" spans="1:20" s="171" customFormat="1" ht="18" customHeight="1">
      <c r="A86" s="26">
        <v>1</v>
      </c>
      <c r="B86" s="39" t="s">
        <v>157</v>
      </c>
      <c r="C86" s="35">
        <v>0</v>
      </c>
      <c r="D86" s="35">
        <v>0</v>
      </c>
      <c r="E86" s="35">
        <v>555</v>
      </c>
      <c r="F86" s="35">
        <v>54</v>
      </c>
      <c r="G86" s="35">
        <v>545</v>
      </c>
      <c r="H86" s="35">
        <v>100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1254</v>
      </c>
    </row>
    <row r="87" spans="1:20" s="49" customFormat="1" ht="18" customHeight="1">
      <c r="A87" s="26"/>
      <c r="B87" s="172" t="s">
        <v>191</v>
      </c>
      <c r="C87" s="185"/>
      <c r="D87" s="185"/>
      <c r="E87" s="44">
        <v>378</v>
      </c>
      <c r="F87" s="185">
        <v>32</v>
      </c>
      <c r="G87" s="185">
        <v>545</v>
      </c>
      <c r="H87" s="44">
        <v>90</v>
      </c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178">
        <v>1045</v>
      </c>
    </row>
    <row r="88" spans="1:20" s="49" customFormat="1" ht="18" customHeight="1">
      <c r="A88" s="26"/>
      <c r="B88" s="172" t="s">
        <v>238</v>
      </c>
      <c r="C88" s="185"/>
      <c r="D88" s="185"/>
      <c r="E88" s="44">
        <v>177</v>
      </c>
      <c r="F88" s="185">
        <v>22</v>
      </c>
      <c r="G88" s="185"/>
      <c r="H88" s="44">
        <v>10</v>
      </c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178">
        <v>209</v>
      </c>
    </row>
    <row r="89" spans="1:20" s="171" customFormat="1" ht="18" customHeight="1">
      <c r="A89" s="26">
        <v>1</v>
      </c>
      <c r="B89" s="39" t="s">
        <v>78</v>
      </c>
      <c r="C89" s="35">
        <v>87</v>
      </c>
      <c r="D89" s="35">
        <v>391</v>
      </c>
      <c r="E89" s="35">
        <v>760</v>
      </c>
      <c r="F89" s="35">
        <v>26</v>
      </c>
      <c r="G89" s="35">
        <v>1104</v>
      </c>
      <c r="H89" s="35">
        <v>80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2448</v>
      </c>
    </row>
    <row r="90" spans="1:20" s="46" customFormat="1" ht="18" customHeight="1">
      <c r="A90" s="26"/>
      <c r="B90" s="172" t="s">
        <v>191</v>
      </c>
      <c r="C90" s="44">
        <v>66</v>
      </c>
      <c r="D90" s="44">
        <v>352</v>
      </c>
      <c r="E90" s="44">
        <v>520</v>
      </c>
      <c r="F90" s="44">
        <v>16</v>
      </c>
      <c r="G90" s="44">
        <v>1104</v>
      </c>
      <c r="H90" s="44">
        <v>71</v>
      </c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178">
        <v>2129</v>
      </c>
    </row>
    <row r="91" spans="1:20" s="46" customFormat="1" ht="18" customHeight="1">
      <c r="A91" s="26"/>
      <c r="B91" s="172" t="s">
        <v>238</v>
      </c>
      <c r="C91" s="44">
        <v>21</v>
      </c>
      <c r="D91" s="44">
        <v>39</v>
      </c>
      <c r="E91" s="44">
        <v>240</v>
      </c>
      <c r="F91" s="44">
        <v>10</v>
      </c>
      <c r="G91" s="44"/>
      <c r="H91" s="44">
        <v>9</v>
      </c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178">
        <v>319</v>
      </c>
    </row>
    <row r="92" spans="1:20" s="171" customFormat="1" ht="18" customHeight="1">
      <c r="A92" s="26">
        <v>1</v>
      </c>
      <c r="B92" s="39" t="s">
        <v>242</v>
      </c>
      <c r="C92" s="35">
        <v>135</v>
      </c>
      <c r="D92" s="35">
        <v>64</v>
      </c>
      <c r="E92" s="35">
        <v>965</v>
      </c>
      <c r="F92" s="35">
        <v>7</v>
      </c>
      <c r="G92" s="35">
        <v>1200</v>
      </c>
      <c r="H92" s="35">
        <v>75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2446</v>
      </c>
    </row>
    <row r="93" spans="1:20" s="46" customFormat="1" ht="18" customHeight="1">
      <c r="A93" s="26"/>
      <c r="B93" s="172" t="s">
        <v>191</v>
      </c>
      <c r="C93" s="44">
        <v>119</v>
      </c>
      <c r="D93" s="44">
        <v>50</v>
      </c>
      <c r="E93" s="44">
        <v>695</v>
      </c>
      <c r="F93" s="44"/>
      <c r="G93" s="44">
        <v>1200</v>
      </c>
      <c r="H93" s="44">
        <v>55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178">
        <v>2119</v>
      </c>
    </row>
    <row r="94" spans="1:20" s="46" customFormat="1" ht="18" customHeight="1">
      <c r="A94" s="26"/>
      <c r="B94" s="172" t="s">
        <v>238</v>
      </c>
      <c r="C94" s="44">
        <v>16</v>
      </c>
      <c r="D94" s="44">
        <v>14</v>
      </c>
      <c r="E94" s="44">
        <v>270</v>
      </c>
      <c r="F94" s="44">
        <v>7</v>
      </c>
      <c r="G94" s="44"/>
      <c r="H94" s="44">
        <v>20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178">
        <v>327</v>
      </c>
    </row>
    <row r="95" spans="1:20" s="171" customFormat="1" ht="18" customHeight="1">
      <c r="A95" s="26">
        <v>1</v>
      </c>
      <c r="B95" s="39" t="s">
        <v>243</v>
      </c>
      <c r="C95" s="35">
        <v>9</v>
      </c>
      <c r="D95" s="35">
        <v>66</v>
      </c>
      <c r="E95" s="35">
        <v>188</v>
      </c>
      <c r="F95" s="35">
        <v>0</v>
      </c>
      <c r="G95" s="35">
        <v>0</v>
      </c>
      <c r="H95" s="35">
        <v>92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355</v>
      </c>
    </row>
    <row r="96" spans="1:20" s="46" customFormat="1" ht="18" customHeight="1">
      <c r="A96" s="26"/>
      <c r="B96" s="172" t="s">
        <v>191</v>
      </c>
      <c r="C96" s="44">
        <v>8</v>
      </c>
      <c r="D96" s="44">
        <v>52</v>
      </c>
      <c r="E96" s="44">
        <v>82</v>
      </c>
      <c r="F96" s="44"/>
      <c r="G96" s="44"/>
      <c r="H96" s="44">
        <v>80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178">
        <v>222</v>
      </c>
    </row>
    <row r="97" spans="1:20" s="46" customFormat="1" ht="18" customHeight="1">
      <c r="A97" s="26"/>
      <c r="B97" s="172" t="s">
        <v>238</v>
      </c>
      <c r="C97" s="44">
        <v>1</v>
      </c>
      <c r="D97" s="44">
        <v>14</v>
      </c>
      <c r="E97" s="44">
        <v>106</v>
      </c>
      <c r="F97" s="44"/>
      <c r="G97" s="44"/>
      <c r="H97" s="44">
        <v>12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178">
        <v>133</v>
      </c>
    </row>
    <row r="98" spans="1:20" s="198" customFormat="1" ht="18" customHeight="1">
      <c r="A98" s="26">
        <v>1</v>
      </c>
      <c r="B98" s="39" t="s">
        <v>84</v>
      </c>
      <c r="C98" s="35">
        <v>153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153</v>
      </c>
    </row>
    <row r="99" spans="1:20" s="46" customFormat="1" ht="18" customHeight="1">
      <c r="A99" s="26"/>
      <c r="B99" s="172" t="s">
        <v>191</v>
      </c>
      <c r="C99" s="52">
        <v>153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178">
        <v>153</v>
      </c>
    </row>
    <row r="100" spans="1:20" s="46" customFormat="1" ht="18" customHeight="1" thickBot="1">
      <c r="A100" s="26"/>
      <c r="B100" s="172" t="s">
        <v>238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178">
        <v>0</v>
      </c>
    </row>
    <row r="101" spans="1:20" s="199" customFormat="1" ht="18" customHeight="1" thickBot="1">
      <c r="A101" s="26">
        <v>1</v>
      </c>
      <c r="B101" s="39" t="s">
        <v>244</v>
      </c>
      <c r="C101" s="35">
        <v>84</v>
      </c>
      <c r="D101" s="35">
        <v>41</v>
      </c>
      <c r="E101" s="35">
        <v>106</v>
      </c>
      <c r="F101" s="35">
        <v>0</v>
      </c>
      <c r="G101" s="35">
        <v>0</v>
      </c>
      <c r="H101" s="35">
        <v>1</v>
      </c>
      <c r="I101" s="35">
        <v>0</v>
      </c>
      <c r="J101" s="35">
        <v>0</v>
      </c>
      <c r="K101" s="35">
        <v>25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257</v>
      </c>
    </row>
    <row r="102" spans="1:20" s="49" customFormat="1" ht="18" customHeight="1">
      <c r="A102" s="26"/>
      <c r="B102" s="172" t="s">
        <v>191</v>
      </c>
      <c r="C102" s="44">
        <v>62</v>
      </c>
      <c r="D102" s="44">
        <v>31</v>
      </c>
      <c r="E102" s="200">
        <v>32</v>
      </c>
      <c r="F102" s="44"/>
      <c r="G102" s="44"/>
      <c r="H102" s="200"/>
      <c r="I102" s="200"/>
      <c r="J102" s="200"/>
      <c r="K102" s="200">
        <v>20</v>
      </c>
      <c r="L102" s="200"/>
      <c r="M102" s="200"/>
      <c r="N102" s="200"/>
      <c r="O102" s="44"/>
      <c r="P102" s="44"/>
      <c r="Q102" s="44"/>
      <c r="R102" s="44"/>
      <c r="S102" s="200"/>
      <c r="T102" s="178">
        <v>145</v>
      </c>
    </row>
    <row r="103" spans="1:20" s="49" customFormat="1" ht="18" customHeight="1">
      <c r="A103" s="26"/>
      <c r="B103" s="172" t="s">
        <v>238</v>
      </c>
      <c r="C103" s="44">
        <v>22</v>
      </c>
      <c r="D103" s="44">
        <v>10</v>
      </c>
      <c r="E103" s="200">
        <v>74</v>
      </c>
      <c r="F103" s="44"/>
      <c r="G103" s="44"/>
      <c r="H103" s="200">
        <v>1</v>
      </c>
      <c r="I103" s="200"/>
      <c r="J103" s="200"/>
      <c r="K103" s="200">
        <v>5</v>
      </c>
      <c r="L103" s="200"/>
      <c r="M103" s="200"/>
      <c r="N103" s="200"/>
      <c r="O103" s="44"/>
      <c r="P103" s="44"/>
      <c r="Q103" s="44"/>
      <c r="R103" s="44"/>
      <c r="S103" s="200"/>
      <c r="T103" s="178">
        <v>112</v>
      </c>
    </row>
    <row r="104" spans="1:20" s="171" customFormat="1" ht="18" customHeight="1">
      <c r="A104" s="26">
        <v>1</v>
      </c>
      <c r="B104" s="39" t="s">
        <v>163</v>
      </c>
      <c r="C104" s="35">
        <v>190</v>
      </c>
      <c r="D104" s="35">
        <v>68</v>
      </c>
      <c r="E104" s="35">
        <v>146</v>
      </c>
      <c r="F104" s="35">
        <v>9</v>
      </c>
      <c r="G104" s="35">
        <v>240</v>
      </c>
      <c r="H104" s="35">
        <v>65</v>
      </c>
      <c r="I104" s="35">
        <v>277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995</v>
      </c>
    </row>
    <row r="105" spans="1:20" s="46" customFormat="1" ht="18" customHeight="1">
      <c r="A105" s="26"/>
      <c r="B105" s="172" t="s">
        <v>191</v>
      </c>
      <c r="C105" s="44">
        <v>134</v>
      </c>
      <c r="D105" s="44">
        <v>41</v>
      </c>
      <c r="E105" s="44"/>
      <c r="F105" s="44">
        <v>3</v>
      </c>
      <c r="G105" s="44">
        <v>240</v>
      </c>
      <c r="H105" s="44">
        <v>60</v>
      </c>
      <c r="I105" s="44">
        <v>277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178">
        <v>755</v>
      </c>
    </row>
    <row r="106" spans="1:20" s="46" customFormat="1" ht="18" customHeight="1">
      <c r="A106" s="26"/>
      <c r="B106" s="172" t="s">
        <v>238</v>
      </c>
      <c r="C106" s="44">
        <v>56</v>
      </c>
      <c r="D106" s="44">
        <v>27</v>
      </c>
      <c r="E106" s="44">
        <v>146</v>
      </c>
      <c r="F106" s="44">
        <v>6</v>
      </c>
      <c r="G106" s="44"/>
      <c r="H106" s="44">
        <v>5</v>
      </c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178">
        <v>240</v>
      </c>
    </row>
    <row r="107" spans="1:20" s="198" customFormat="1" ht="18" customHeight="1">
      <c r="A107" s="26">
        <v>1</v>
      </c>
      <c r="B107" s="39" t="s">
        <v>245</v>
      </c>
      <c r="C107" s="35">
        <v>2</v>
      </c>
      <c r="D107" s="35">
        <v>48</v>
      </c>
      <c r="E107" s="35">
        <v>109</v>
      </c>
      <c r="F107" s="35">
        <v>40</v>
      </c>
      <c r="G107" s="35">
        <v>152</v>
      </c>
      <c r="H107" s="35">
        <v>60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411</v>
      </c>
    </row>
    <row r="108" spans="1:20" s="201" customFormat="1" ht="18" customHeight="1">
      <c r="A108" s="26"/>
      <c r="B108" s="172" t="s">
        <v>191</v>
      </c>
      <c r="C108" s="200">
        <v>2</v>
      </c>
      <c r="D108" s="200">
        <v>38</v>
      </c>
      <c r="E108" s="200">
        <v>19</v>
      </c>
      <c r="F108" s="200">
        <v>16</v>
      </c>
      <c r="G108" s="200">
        <v>152</v>
      </c>
      <c r="H108" s="200">
        <v>50</v>
      </c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178">
        <v>277</v>
      </c>
    </row>
    <row r="109" spans="1:20" s="201" customFormat="1" ht="18" customHeight="1">
      <c r="A109" s="26"/>
      <c r="B109" s="172" t="s">
        <v>238</v>
      </c>
      <c r="C109" s="200"/>
      <c r="D109" s="200">
        <v>10</v>
      </c>
      <c r="E109" s="200">
        <v>90</v>
      </c>
      <c r="F109" s="200">
        <v>24</v>
      </c>
      <c r="G109" s="200"/>
      <c r="H109" s="200">
        <v>10</v>
      </c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178">
        <v>134</v>
      </c>
    </row>
    <row r="110" spans="1:20" s="198" customFormat="1" ht="18" customHeight="1">
      <c r="A110" s="26">
        <v>1</v>
      </c>
      <c r="B110" s="39" t="s">
        <v>196</v>
      </c>
      <c r="C110" s="35">
        <v>0</v>
      </c>
      <c r="D110" s="35">
        <v>0</v>
      </c>
      <c r="E110" s="35">
        <v>127</v>
      </c>
      <c r="F110" s="35">
        <v>21</v>
      </c>
      <c r="G110" s="35">
        <v>55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203</v>
      </c>
    </row>
    <row r="111" spans="1:20" s="201" customFormat="1" ht="18" customHeight="1">
      <c r="A111" s="26"/>
      <c r="B111" s="172" t="s">
        <v>191</v>
      </c>
      <c r="C111" s="200"/>
      <c r="D111" s="200"/>
      <c r="E111" s="200">
        <v>41</v>
      </c>
      <c r="F111" s="200">
        <v>20</v>
      </c>
      <c r="G111" s="200">
        <v>55</v>
      </c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178">
        <v>116</v>
      </c>
    </row>
    <row r="112" spans="1:20" s="201" customFormat="1" ht="18" customHeight="1">
      <c r="A112" s="26"/>
      <c r="B112" s="172" t="s">
        <v>238</v>
      </c>
      <c r="C112" s="200"/>
      <c r="D112" s="200"/>
      <c r="E112" s="200">
        <v>86</v>
      </c>
      <c r="F112" s="200">
        <v>1</v>
      </c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178">
        <v>87</v>
      </c>
    </row>
    <row r="113" spans="1:20" s="171" customFormat="1" ht="18" customHeight="1">
      <c r="A113" s="26">
        <v>1</v>
      </c>
      <c r="B113" s="39" t="s">
        <v>246</v>
      </c>
      <c r="C113" s="35">
        <v>0</v>
      </c>
      <c r="D113" s="35">
        <v>1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1</v>
      </c>
    </row>
    <row r="114" spans="1:20" s="49" customFormat="1" ht="18" customHeight="1">
      <c r="A114" s="26"/>
      <c r="B114" s="172" t="s">
        <v>191</v>
      </c>
      <c r="C114" s="44"/>
      <c r="D114" s="44">
        <v>1</v>
      </c>
      <c r="E114" s="188"/>
      <c r="F114" s="44"/>
      <c r="G114" s="44"/>
      <c r="H114" s="188"/>
      <c r="I114" s="188"/>
      <c r="J114" s="188"/>
      <c r="K114" s="188"/>
      <c r="L114" s="188"/>
      <c r="M114" s="188"/>
      <c r="N114" s="188"/>
      <c r="O114" s="44"/>
      <c r="P114" s="44"/>
      <c r="Q114" s="44"/>
      <c r="R114" s="44"/>
      <c r="S114" s="188"/>
      <c r="T114" s="178">
        <v>1</v>
      </c>
    </row>
    <row r="115" spans="1:20" s="49" customFormat="1" ht="18" customHeight="1">
      <c r="A115" s="26"/>
      <c r="B115" s="172" t="s">
        <v>238</v>
      </c>
      <c r="C115" s="44"/>
      <c r="D115" s="44"/>
      <c r="E115" s="188"/>
      <c r="F115" s="44"/>
      <c r="G115" s="44"/>
      <c r="H115" s="188"/>
      <c r="I115" s="188"/>
      <c r="J115" s="188"/>
      <c r="K115" s="188"/>
      <c r="L115" s="188"/>
      <c r="M115" s="188"/>
      <c r="N115" s="188"/>
      <c r="O115" s="44"/>
      <c r="P115" s="44"/>
      <c r="Q115" s="44"/>
      <c r="R115" s="44"/>
      <c r="S115" s="188"/>
      <c r="T115" s="178">
        <v>0</v>
      </c>
    </row>
    <row r="116" spans="1:20" s="202" customFormat="1" ht="18" customHeight="1">
      <c r="A116" s="26">
        <v>1</v>
      </c>
      <c r="B116" s="39" t="s">
        <v>248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45</v>
      </c>
      <c r="L116" s="35">
        <v>0</v>
      </c>
      <c r="M116" s="35">
        <v>0</v>
      </c>
      <c r="N116" s="35">
        <v>87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132</v>
      </c>
    </row>
    <row r="117" spans="1:20" s="49" customFormat="1" ht="18" customHeight="1">
      <c r="A117" s="26"/>
      <c r="B117" s="172" t="s">
        <v>191</v>
      </c>
      <c r="C117" s="52"/>
      <c r="D117" s="52"/>
      <c r="E117" s="52"/>
      <c r="F117" s="52"/>
      <c r="G117" s="52"/>
      <c r="H117" s="52"/>
      <c r="I117" s="52"/>
      <c r="J117" s="52"/>
      <c r="K117" s="52">
        <v>40</v>
      </c>
      <c r="L117" s="52"/>
      <c r="M117" s="52"/>
      <c r="N117" s="52">
        <v>82</v>
      </c>
      <c r="O117" s="52"/>
      <c r="P117" s="52"/>
      <c r="Q117" s="52"/>
      <c r="R117" s="52"/>
      <c r="S117" s="52"/>
      <c r="T117" s="178">
        <v>122</v>
      </c>
    </row>
    <row r="118" spans="1:20" s="49" customFormat="1" ht="18" customHeight="1">
      <c r="A118" s="26"/>
      <c r="B118" s="172" t="s">
        <v>238</v>
      </c>
      <c r="C118" s="52"/>
      <c r="D118" s="52"/>
      <c r="E118" s="52"/>
      <c r="F118" s="52"/>
      <c r="G118" s="52"/>
      <c r="H118" s="52"/>
      <c r="I118" s="52"/>
      <c r="J118" s="52"/>
      <c r="K118" s="52">
        <v>5</v>
      </c>
      <c r="L118" s="52"/>
      <c r="M118" s="52"/>
      <c r="N118" s="52">
        <v>5</v>
      </c>
      <c r="O118" s="52"/>
      <c r="P118" s="52"/>
      <c r="Q118" s="52"/>
      <c r="R118" s="52"/>
      <c r="S118" s="52"/>
      <c r="T118" s="178">
        <v>10</v>
      </c>
    </row>
    <row r="119" spans="1:20" s="201" customFormat="1" ht="18" customHeight="1">
      <c r="A119" s="26">
        <v>1</v>
      </c>
      <c r="B119" s="39" t="s">
        <v>249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65</v>
      </c>
      <c r="L119" s="35">
        <v>0</v>
      </c>
      <c r="M119" s="35">
        <v>0</v>
      </c>
      <c r="N119" s="35">
        <v>95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160</v>
      </c>
    </row>
    <row r="120" spans="1:20" s="201" customFormat="1" ht="18" customHeight="1">
      <c r="A120" s="26"/>
      <c r="B120" s="172" t="s">
        <v>191</v>
      </c>
      <c r="C120" s="52"/>
      <c r="D120" s="52"/>
      <c r="E120" s="52"/>
      <c r="F120" s="52"/>
      <c r="G120" s="52"/>
      <c r="H120" s="52"/>
      <c r="I120" s="52"/>
      <c r="J120" s="52"/>
      <c r="K120" s="52">
        <v>60</v>
      </c>
      <c r="L120" s="52"/>
      <c r="M120" s="52"/>
      <c r="N120" s="52">
        <v>88</v>
      </c>
      <c r="O120" s="52"/>
      <c r="P120" s="52"/>
      <c r="Q120" s="52"/>
      <c r="R120" s="52"/>
      <c r="S120" s="52"/>
      <c r="T120" s="178">
        <v>148</v>
      </c>
    </row>
    <row r="121" spans="1:20" s="201" customFormat="1" ht="18" customHeight="1">
      <c r="A121" s="26"/>
      <c r="B121" s="172" t="s">
        <v>238</v>
      </c>
      <c r="C121" s="52"/>
      <c r="D121" s="52"/>
      <c r="E121" s="52"/>
      <c r="F121" s="52"/>
      <c r="G121" s="52"/>
      <c r="H121" s="52"/>
      <c r="I121" s="52"/>
      <c r="J121" s="52"/>
      <c r="K121" s="52">
        <v>5</v>
      </c>
      <c r="L121" s="52"/>
      <c r="M121" s="52"/>
      <c r="N121" s="52">
        <v>7</v>
      </c>
      <c r="O121" s="52"/>
      <c r="P121" s="52"/>
      <c r="Q121" s="52"/>
      <c r="R121" s="52"/>
      <c r="S121" s="52"/>
      <c r="T121" s="178">
        <v>12</v>
      </c>
    </row>
    <row r="122" spans="1:20" s="171" customFormat="1" ht="18" customHeight="1">
      <c r="A122" s="26">
        <v>1</v>
      </c>
      <c r="B122" s="39" t="s">
        <v>169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625</v>
      </c>
      <c r="L122" s="35">
        <v>578</v>
      </c>
      <c r="M122" s="35">
        <v>220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1423</v>
      </c>
    </row>
    <row r="123" spans="1:20" s="49" customFormat="1" ht="18" customHeight="1">
      <c r="A123" s="26"/>
      <c r="B123" s="172" t="s">
        <v>191</v>
      </c>
      <c r="C123" s="200"/>
      <c r="D123" s="200"/>
      <c r="E123" s="200"/>
      <c r="F123" s="200"/>
      <c r="G123" s="200"/>
      <c r="H123" s="200"/>
      <c r="I123" s="200"/>
      <c r="J123" s="200"/>
      <c r="K123" s="200">
        <v>360</v>
      </c>
      <c r="L123" s="200">
        <v>526</v>
      </c>
      <c r="M123" s="200">
        <v>220</v>
      </c>
      <c r="N123" s="200"/>
      <c r="O123" s="200"/>
      <c r="P123" s="200"/>
      <c r="Q123" s="200"/>
      <c r="R123" s="200"/>
      <c r="S123" s="200"/>
      <c r="T123" s="178">
        <v>1106</v>
      </c>
    </row>
    <row r="124" spans="1:20" s="49" customFormat="1" ht="18" customHeight="1">
      <c r="A124" s="26"/>
      <c r="B124" s="172" t="s">
        <v>238</v>
      </c>
      <c r="C124" s="200"/>
      <c r="D124" s="200"/>
      <c r="E124" s="200"/>
      <c r="F124" s="200"/>
      <c r="G124" s="200"/>
      <c r="H124" s="200"/>
      <c r="I124" s="200"/>
      <c r="J124" s="200"/>
      <c r="K124" s="200">
        <v>265</v>
      </c>
      <c r="L124" s="200">
        <v>52</v>
      </c>
      <c r="M124" s="200"/>
      <c r="N124" s="200"/>
      <c r="O124" s="200"/>
      <c r="P124" s="200"/>
      <c r="Q124" s="200"/>
      <c r="R124" s="200"/>
      <c r="S124" s="200"/>
      <c r="T124" s="178">
        <v>317</v>
      </c>
    </row>
    <row r="125" spans="1:20" s="190" customFormat="1" ht="18" customHeight="1">
      <c r="A125" s="26">
        <v>1</v>
      </c>
      <c r="B125" s="39" t="s">
        <v>102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240</v>
      </c>
      <c r="K125" s="35">
        <v>1264</v>
      </c>
      <c r="L125" s="35">
        <v>1</v>
      </c>
      <c r="M125" s="35">
        <v>520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2025</v>
      </c>
    </row>
    <row r="126" spans="1:20" s="195" customFormat="1" ht="18" customHeight="1">
      <c r="A126" s="26"/>
      <c r="B126" s="172" t="s">
        <v>191</v>
      </c>
      <c r="C126" s="200"/>
      <c r="D126" s="200"/>
      <c r="E126" s="200"/>
      <c r="F126" s="200"/>
      <c r="G126" s="200"/>
      <c r="H126" s="200"/>
      <c r="I126" s="200"/>
      <c r="J126" s="200">
        <v>150</v>
      </c>
      <c r="K126" s="200">
        <v>871</v>
      </c>
      <c r="L126" s="200">
        <v>1</v>
      </c>
      <c r="M126" s="200">
        <v>520</v>
      </c>
      <c r="N126" s="200"/>
      <c r="O126" s="200"/>
      <c r="P126" s="200"/>
      <c r="Q126" s="200"/>
      <c r="R126" s="200"/>
      <c r="S126" s="200"/>
      <c r="T126" s="178">
        <v>1542</v>
      </c>
    </row>
    <row r="127" spans="1:20" s="195" customFormat="1" ht="18" customHeight="1">
      <c r="A127" s="26"/>
      <c r="B127" s="172" t="s">
        <v>238</v>
      </c>
      <c r="C127" s="200"/>
      <c r="D127" s="200"/>
      <c r="E127" s="200"/>
      <c r="F127" s="200"/>
      <c r="G127" s="200"/>
      <c r="H127" s="200"/>
      <c r="I127" s="200"/>
      <c r="J127" s="200">
        <v>90</v>
      </c>
      <c r="K127" s="200">
        <v>393</v>
      </c>
      <c r="L127" s="200"/>
      <c r="M127" s="200"/>
      <c r="N127" s="200"/>
      <c r="O127" s="200"/>
      <c r="P127" s="200"/>
      <c r="Q127" s="200"/>
      <c r="R127" s="200"/>
      <c r="S127" s="200"/>
      <c r="T127" s="178">
        <v>483</v>
      </c>
    </row>
    <row r="128" spans="1:20" s="190" customFormat="1" ht="27.75" customHeight="1">
      <c r="A128" s="26">
        <v>1</v>
      </c>
      <c r="B128" s="39" t="s">
        <v>167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402</v>
      </c>
      <c r="K128" s="35">
        <v>570</v>
      </c>
      <c r="L128" s="35">
        <v>0</v>
      </c>
      <c r="M128" s="35">
        <v>1280</v>
      </c>
      <c r="N128" s="35">
        <v>708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2960</v>
      </c>
    </row>
    <row r="129" spans="1:20" s="195" customFormat="1" ht="18" customHeight="1">
      <c r="A129" s="26"/>
      <c r="B129" s="172" t="s">
        <v>191</v>
      </c>
      <c r="C129" s="188"/>
      <c r="D129" s="188"/>
      <c r="E129" s="188"/>
      <c r="F129" s="188"/>
      <c r="G129" s="188"/>
      <c r="H129" s="188"/>
      <c r="I129" s="188"/>
      <c r="J129" s="188">
        <v>275</v>
      </c>
      <c r="K129" s="188">
        <v>380</v>
      </c>
      <c r="L129" s="188"/>
      <c r="M129" s="188">
        <v>1265</v>
      </c>
      <c r="N129" s="188">
        <v>677</v>
      </c>
      <c r="O129" s="188"/>
      <c r="P129" s="188"/>
      <c r="Q129" s="188"/>
      <c r="R129" s="188"/>
      <c r="S129" s="188"/>
      <c r="T129" s="178">
        <v>2597</v>
      </c>
    </row>
    <row r="130" spans="1:20" s="195" customFormat="1" ht="18" customHeight="1">
      <c r="A130" s="26"/>
      <c r="B130" s="172" t="s">
        <v>238</v>
      </c>
      <c r="C130" s="188"/>
      <c r="D130" s="188"/>
      <c r="E130" s="188"/>
      <c r="F130" s="188"/>
      <c r="G130" s="188"/>
      <c r="H130" s="188"/>
      <c r="I130" s="188"/>
      <c r="J130" s="188">
        <v>127</v>
      </c>
      <c r="K130" s="188">
        <v>190</v>
      </c>
      <c r="L130" s="188"/>
      <c r="M130" s="188">
        <v>15</v>
      </c>
      <c r="N130" s="188">
        <v>31</v>
      </c>
      <c r="O130" s="188"/>
      <c r="P130" s="188"/>
      <c r="Q130" s="188"/>
      <c r="R130" s="188"/>
      <c r="S130" s="188"/>
      <c r="T130" s="178">
        <v>363</v>
      </c>
    </row>
    <row r="131" spans="1:20" s="203" customFormat="1" ht="18" customHeight="1">
      <c r="A131" s="26">
        <v>1</v>
      </c>
      <c r="B131" s="39" t="s">
        <v>171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320</v>
      </c>
      <c r="L131" s="35">
        <v>0</v>
      </c>
      <c r="M131" s="35">
        <v>2680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3000</v>
      </c>
    </row>
    <row r="132" spans="1:20" s="204" customFormat="1" ht="18" customHeight="1">
      <c r="A132" s="26"/>
      <c r="B132" s="172" t="s">
        <v>191</v>
      </c>
      <c r="C132" s="200"/>
      <c r="D132" s="200"/>
      <c r="E132" s="200"/>
      <c r="F132" s="200"/>
      <c r="G132" s="200"/>
      <c r="H132" s="200"/>
      <c r="I132" s="200"/>
      <c r="J132" s="200"/>
      <c r="K132" s="200">
        <v>320</v>
      </c>
      <c r="L132" s="200"/>
      <c r="M132" s="200">
        <v>2405</v>
      </c>
      <c r="N132" s="200"/>
      <c r="O132" s="200"/>
      <c r="P132" s="200"/>
      <c r="Q132" s="200"/>
      <c r="R132" s="200"/>
      <c r="S132" s="200"/>
      <c r="T132" s="178">
        <v>2725</v>
      </c>
    </row>
    <row r="133" spans="1:20" s="204" customFormat="1" ht="18" customHeight="1">
      <c r="A133" s="26"/>
      <c r="B133" s="172" t="s">
        <v>238</v>
      </c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>
        <v>275</v>
      </c>
      <c r="N133" s="200"/>
      <c r="O133" s="200"/>
      <c r="P133" s="200"/>
      <c r="Q133" s="200"/>
      <c r="R133" s="200"/>
      <c r="S133" s="200"/>
      <c r="T133" s="178">
        <v>275</v>
      </c>
    </row>
    <row r="134" spans="1:20" s="205" customFormat="1" ht="18" customHeight="1">
      <c r="A134" s="58">
        <v>1</v>
      </c>
      <c r="B134" s="39" t="s">
        <v>173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10</v>
      </c>
      <c r="L134" s="35">
        <v>2207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2217</v>
      </c>
    </row>
    <row r="135" spans="1:20" s="192" customFormat="1" ht="18" customHeight="1">
      <c r="A135" s="26"/>
      <c r="B135" s="172" t="s">
        <v>191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>
        <v>1901</v>
      </c>
      <c r="M135" s="44"/>
      <c r="N135" s="44"/>
      <c r="O135" s="44"/>
      <c r="P135" s="44"/>
      <c r="Q135" s="44"/>
      <c r="R135" s="44"/>
      <c r="S135" s="44"/>
      <c r="T135" s="178">
        <v>1901</v>
      </c>
    </row>
    <row r="136" spans="1:20" s="192" customFormat="1" ht="18" customHeight="1">
      <c r="A136" s="26"/>
      <c r="B136" s="172" t="s">
        <v>238</v>
      </c>
      <c r="C136" s="44"/>
      <c r="D136" s="44"/>
      <c r="E136" s="44"/>
      <c r="F136" s="44"/>
      <c r="G136" s="44"/>
      <c r="H136" s="44"/>
      <c r="I136" s="44"/>
      <c r="J136" s="44"/>
      <c r="K136" s="44">
        <v>10</v>
      </c>
      <c r="L136" s="44">
        <v>306</v>
      </c>
      <c r="M136" s="44"/>
      <c r="N136" s="44"/>
      <c r="O136" s="44"/>
      <c r="P136" s="44"/>
      <c r="Q136" s="44"/>
      <c r="R136" s="44"/>
      <c r="S136" s="44"/>
      <c r="T136" s="178">
        <v>316</v>
      </c>
    </row>
    <row r="137" spans="1:20" s="206" customFormat="1" ht="18" customHeight="1">
      <c r="A137" s="26">
        <v>1</v>
      </c>
      <c r="B137" s="59" t="s">
        <v>237</v>
      </c>
      <c r="C137" s="35">
        <v>0</v>
      </c>
      <c r="D137" s="35">
        <v>134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134</v>
      </c>
    </row>
    <row r="138" spans="1:20" s="46" customFormat="1" ht="18" customHeight="1">
      <c r="A138" s="26"/>
      <c r="B138" s="172" t="s">
        <v>191</v>
      </c>
      <c r="C138" s="52"/>
      <c r="D138" s="52">
        <v>127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178">
        <v>127</v>
      </c>
    </row>
    <row r="139" spans="1:20" s="46" customFormat="1" ht="18" customHeight="1">
      <c r="A139" s="26"/>
      <c r="B139" s="172" t="s">
        <v>238</v>
      </c>
      <c r="C139" s="52"/>
      <c r="D139" s="52">
        <v>7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178">
        <v>7</v>
      </c>
    </row>
    <row r="140" spans="1:20" s="206" customFormat="1" ht="18" customHeight="1">
      <c r="A140" s="26">
        <v>1</v>
      </c>
      <c r="B140" s="59" t="s">
        <v>181</v>
      </c>
      <c r="C140" s="35">
        <v>0</v>
      </c>
      <c r="D140" s="35">
        <v>0</v>
      </c>
      <c r="E140" s="35">
        <v>17585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17585</v>
      </c>
    </row>
    <row r="141" spans="1:20" s="46" customFormat="1" ht="18" customHeight="1">
      <c r="A141" s="26"/>
      <c r="B141" s="172" t="s">
        <v>191</v>
      </c>
      <c r="C141" s="52"/>
      <c r="D141" s="52"/>
      <c r="E141" s="52">
        <v>12069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178">
        <v>12069</v>
      </c>
    </row>
    <row r="142" spans="1:20" s="46" customFormat="1" ht="18" customHeight="1">
      <c r="A142" s="26"/>
      <c r="B142" s="172" t="s">
        <v>238</v>
      </c>
      <c r="C142" s="52"/>
      <c r="D142" s="52"/>
      <c r="E142" s="52">
        <v>5516</v>
      </c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178">
        <v>5516</v>
      </c>
    </row>
    <row r="143" spans="1:20" s="210" customFormat="1" ht="18" customHeight="1">
      <c r="A143" s="196">
        <v>3</v>
      </c>
      <c r="B143" s="197" t="s">
        <v>252</v>
      </c>
      <c r="C143" s="56">
        <v>1297</v>
      </c>
      <c r="D143" s="56">
        <v>1893</v>
      </c>
      <c r="E143" s="56">
        <v>22823</v>
      </c>
      <c r="F143" s="56">
        <v>238</v>
      </c>
      <c r="G143" s="56">
        <v>6546</v>
      </c>
      <c r="H143" s="56">
        <v>1648</v>
      </c>
      <c r="I143" s="56">
        <v>1000</v>
      </c>
      <c r="J143" s="56">
        <v>1005</v>
      </c>
      <c r="K143" s="56">
        <v>3326</v>
      </c>
      <c r="L143" s="56">
        <v>2786</v>
      </c>
      <c r="M143" s="56">
        <v>4700</v>
      </c>
      <c r="N143" s="56">
        <v>935</v>
      </c>
      <c r="O143" s="56">
        <v>3512</v>
      </c>
      <c r="P143" s="56">
        <v>505</v>
      </c>
      <c r="Q143" s="56">
        <v>428</v>
      </c>
      <c r="R143" s="56">
        <v>1121</v>
      </c>
      <c r="S143" s="56">
        <v>1078</v>
      </c>
      <c r="T143" s="62">
        <v>54841</v>
      </c>
    </row>
    <row r="144" spans="1:20" s="209" customFormat="1" ht="18" customHeight="1">
      <c r="A144" s="26">
        <v>2</v>
      </c>
      <c r="B144" s="207" t="s">
        <v>251</v>
      </c>
      <c r="C144" s="60">
        <v>1297</v>
      </c>
      <c r="D144" s="60">
        <v>1893</v>
      </c>
      <c r="E144" s="60">
        <v>22823</v>
      </c>
      <c r="F144" s="60">
        <v>238</v>
      </c>
      <c r="G144" s="60">
        <v>6546</v>
      </c>
      <c r="H144" s="60">
        <v>1648</v>
      </c>
      <c r="I144" s="60">
        <v>1000</v>
      </c>
      <c r="J144" s="60">
        <v>1005</v>
      </c>
      <c r="K144" s="60">
        <v>3326</v>
      </c>
      <c r="L144" s="60">
        <v>2786</v>
      </c>
      <c r="M144" s="60">
        <v>4700</v>
      </c>
      <c r="N144" s="60">
        <v>935</v>
      </c>
      <c r="O144" s="60">
        <v>3512</v>
      </c>
      <c r="P144" s="60">
        <v>505</v>
      </c>
      <c r="Q144" s="60">
        <v>428</v>
      </c>
      <c r="R144" s="60">
        <v>1121</v>
      </c>
      <c r="S144" s="60">
        <v>1078</v>
      </c>
      <c r="T144" s="208">
        <v>54841</v>
      </c>
    </row>
    <row r="145" spans="1:20" s="46" customFormat="1" ht="18" customHeight="1">
      <c r="A145" s="26"/>
      <c r="B145" s="172" t="s">
        <v>191</v>
      </c>
      <c r="C145" s="52">
        <v>968</v>
      </c>
      <c r="D145" s="52">
        <v>1547</v>
      </c>
      <c r="E145" s="52">
        <v>15301</v>
      </c>
      <c r="F145" s="52">
        <v>148</v>
      </c>
      <c r="G145" s="52">
        <v>6546</v>
      </c>
      <c r="H145" s="52">
        <v>1468</v>
      </c>
      <c r="I145" s="52">
        <v>982</v>
      </c>
      <c r="J145" s="52">
        <v>655</v>
      </c>
      <c r="K145" s="52">
        <v>2351</v>
      </c>
      <c r="L145" s="52">
        <v>2428</v>
      </c>
      <c r="M145" s="52">
        <v>4410</v>
      </c>
      <c r="N145" s="52">
        <v>885</v>
      </c>
      <c r="O145" s="52">
        <v>2682</v>
      </c>
      <c r="P145" s="52">
        <v>493</v>
      </c>
      <c r="Q145" s="52">
        <v>318</v>
      </c>
      <c r="R145" s="52">
        <v>1121</v>
      </c>
      <c r="S145" s="52">
        <v>878</v>
      </c>
      <c r="T145" s="174">
        <v>43181</v>
      </c>
    </row>
    <row r="146" spans="1:20" s="46" customFormat="1" ht="18" customHeight="1">
      <c r="A146" s="26"/>
      <c r="B146" s="172" t="s">
        <v>238</v>
      </c>
      <c r="C146" s="52">
        <v>329</v>
      </c>
      <c r="D146" s="52">
        <v>346</v>
      </c>
      <c r="E146" s="52">
        <v>7522</v>
      </c>
      <c r="F146" s="52">
        <v>90</v>
      </c>
      <c r="G146" s="52">
        <v>0</v>
      </c>
      <c r="H146" s="52">
        <v>180</v>
      </c>
      <c r="I146" s="52">
        <v>18</v>
      </c>
      <c r="J146" s="52">
        <v>350</v>
      </c>
      <c r="K146" s="52">
        <v>975</v>
      </c>
      <c r="L146" s="52">
        <v>358</v>
      </c>
      <c r="M146" s="52">
        <v>290</v>
      </c>
      <c r="N146" s="52">
        <v>50</v>
      </c>
      <c r="O146" s="52">
        <v>830</v>
      </c>
      <c r="P146" s="52">
        <v>12</v>
      </c>
      <c r="Q146" s="52">
        <v>110</v>
      </c>
      <c r="R146" s="52">
        <v>0</v>
      </c>
      <c r="S146" s="52">
        <v>200</v>
      </c>
      <c r="T146" s="174">
        <v>11660</v>
      </c>
    </row>
  </sheetData>
  <autoFilter ref="A4:U146">
    <filterColumn colId="3"/>
    <filterColumn colId="6"/>
    <filterColumn colId="7"/>
    <filterColumn colId="8"/>
    <filterColumn colId="10"/>
    <filterColumn colId="12"/>
    <filterColumn colId="13"/>
    <filterColumn colId="14"/>
    <filterColumn colId="15"/>
    <filterColumn colId="16"/>
  </autoFilter>
  <mergeCells count="2">
    <mergeCell ref="B2:T2"/>
    <mergeCell ref="C3:S3"/>
  </mergeCells>
  <conditionalFormatting sqref="U32:XFD35 U8:FY31 Q5:FY7 E2:FY4 Q140:FY142 Q8:T136 U36:FY136 C137:FY139 Q143:XFD65421 E5:P65421 A2:D65421">
    <cfRule type="expression" dxfId="1360" priority="778">
      <formula>$A2=3</formula>
    </cfRule>
    <cfRule type="expression" dxfId="1359" priority="779">
      <formula>$A2=2</formula>
    </cfRule>
    <cfRule type="expression" dxfId="1358" priority="780">
      <formula>$A2=1</formula>
    </cfRule>
  </conditionalFormatting>
  <conditionalFormatting sqref="FY32:FY34 FY99:FY101 FY105:FY106 FY146 FY150:FY65421">
    <cfRule type="expression" dxfId="1357" priority="775">
      <formula>$A29=3</formula>
    </cfRule>
    <cfRule type="expression" dxfId="1356" priority="776">
      <formula>$A29=2</formula>
    </cfRule>
    <cfRule type="expression" dxfId="1355" priority="777">
      <formula>$A29=1</formula>
    </cfRule>
  </conditionalFormatting>
  <conditionalFormatting sqref="FY6:FY38">
    <cfRule type="expression" dxfId="1354" priority="772">
      <formula>#REF!=3</formula>
    </cfRule>
    <cfRule type="expression" dxfId="1353" priority="773">
      <formula>#REF!=2</formula>
    </cfRule>
    <cfRule type="expression" dxfId="1352" priority="774">
      <formula>#REF!=1</formula>
    </cfRule>
  </conditionalFormatting>
  <conditionalFormatting sqref="FY43 FY46 FY54:FY55 FY118:FY119 FY166:FY65421">
    <cfRule type="expression" dxfId="1351" priority="769">
      <formula>$A24=3</formula>
    </cfRule>
    <cfRule type="expression" dxfId="1350" priority="770">
      <formula>$A24=2</formula>
    </cfRule>
    <cfRule type="expression" dxfId="1349" priority="771">
      <formula>$A24=1</formula>
    </cfRule>
  </conditionalFormatting>
  <conditionalFormatting sqref="FY43 FY62 FY71 FY81:FY82 FY120 FY164:FY65421">
    <cfRule type="expression" dxfId="1348" priority="766">
      <formula>$A26=3</formula>
    </cfRule>
    <cfRule type="expression" dxfId="1347" priority="767">
      <formula>$A26=2</formula>
    </cfRule>
    <cfRule type="expression" dxfId="1346" priority="768">
      <formula>$A26=1</formula>
    </cfRule>
  </conditionalFormatting>
  <conditionalFormatting sqref="FY41:FY43 FY48:FY52 FY168:FY65421">
    <cfRule type="expression" dxfId="1345" priority="763">
      <formula>$A20=3</formula>
    </cfRule>
    <cfRule type="expression" dxfId="1344" priority="764">
      <formula>$A20=2</formula>
    </cfRule>
    <cfRule type="expression" dxfId="1343" priority="765">
      <formula>$A20=1</formula>
    </cfRule>
  </conditionalFormatting>
  <conditionalFormatting sqref="FY80 FY27:FY28 FY23:FY25 FY18:FY20 FY15:FY16 FY12:FY13 FY66:FY68 FY59 FY30:FY57">
    <cfRule type="expression" dxfId="1342" priority="760">
      <formula>#REF!=3</formula>
    </cfRule>
    <cfRule type="expression" dxfId="1341" priority="761">
      <formula>#REF!=2</formula>
    </cfRule>
    <cfRule type="expression" dxfId="1340" priority="762">
      <formula>#REF!=1</formula>
    </cfRule>
  </conditionalFormatting>
  <conditionalFormatting sqref="FY8 FY17 FY29 FY38 FY26:FY27 FY44:FY45 FY57 FY59:FY60 FY63 FY98 FY125:FY126">
    <cfRule type="expression" dxfId="1339" priority="757">
      <formula>$A7=3</formula>
    </cfRule>
    <cfRule type="expression" dxfId="1338" priority="758">
      <formula>$A7=2</formula>
    </cfRule>
    <cfRule type="expression" dxfId="1337" priority="759">
      <formula>$A7=1</formula>
    </cfRule>
  </conditionalFormatting>
  <conditionalFormatting sqref="FY36:FY40 FY27:FY34 FY22:FY25 FY15:FY20">
    <cfRule type="expression" dxfId="1336" priority="754">
      <formula>#REF!=3</formula>
    </cfRule>
    <cfRule type="expression" dxfId="1335" priority="755">
      <formula>#REF!=2</formula>
    </cfRule>
    <cfRule type="expression" dxfId="1334" priority="756">
      <formula>#REF!=1</formula>
    </cfRule>
  </conditionalFormatting>
  <conditionalFormatting sqref="FY22:FY23 FY29 FY31 FY42:FY44 FY46 FY55:FY58 FY60:FY61 FY76 FY93:FY94 FY97 FY102:FY103 FY127:FY128 FY116 FY137:FY139">
    <cfRule type="expression" dxfId="1333" priority="751">
      <formula>$A15=3</formula>
    </cfRule>
    <cfRule type="expression" dxfId="1332" priority="752">
      <formula>$A15=2</formula>
    </cfRule>
    <cfRule type="expression" dxfId="1331" priority="753">
      <formula>$A15=1</formula>
    </cfRule>
  </conditionalFormatting>
  <conditionalFormatting sqref="FY13 FY16 FY19 FY31 FY36 FY39:FY40 FY43 FY51:FY52 FY57:FY58 FY73 FY108 FY130 FY137:FY139 FY146">
    <cfRule type="expression" dxfId="1330" priority="748">
      <formula>$A8=3</formula>
    </cfRule>
    <cfRule type="expression" dxfId="1329" priority="749">
      <formula>$A8=2</formula>
    </cfRule>
    <cfRule type="expression" dxfId="1328" priority="750">
      <formula>$A8=1</formula>
    </cfRule>
  </conditionalFormatting>
  <conditionalFormatting sqref="FY39:FY40 FY30:FY35 FY18:FY26 FY14:FY16">
    <cfRule type="expression" dxfId="1327" priority="745">
      <formula>#REF!=3</formula>
    </cfRule>
    <cfRule type="expression" dxfId="1326" priority="746">
      <formula>#REF!=2</formula>
    </cfRule>
    <cfRule type="expression" dxfId="1325" priority="747">
      <formula>#REF!=1</formula>
    </cfRule>
  </conditionalFormatting>
  <conditionalFormatting sqref="FY20:FY22">
    <cfRule type="expression" dxfId="1324" priority="742">
      <formula>$A11=3</formula>
    </cfRule>
    <cfRule type="expression" dxfId="1323" priority="743">
      <formula>$A11=2</formula>
    </cfRule>
    <cfRule type="expression" dxfId="1322" priority="744">
      <formula>$A11=1</formula>
    </cfRule>
  </conditionalFormatting>
  <conditionalFormatting sqref="FY180:FY65421">
    <cfRule type="expression" dxfId="1321" priority="739">
      <formula>$A147=3</formula>
    </cfRule>
    <cfRule type="expression" dxfId="1320" priority="740">
      <formula>$A147=2</formula>
    </cfRule>
    <cfRule type="expression" dxfId="1319" priority="741">
      <formula>$A147=1</formula>
    </cfRule>
  </conditionalFormatting>
  <conditionalFormatting sqref="FY117:FY118 FY35:FY42 FY17:FY31">
    <cfRule type="expression" dxfId="1318" priority="736">
      <formula>#REF!=3</formula>
    </cfRule>
    <cfRule type="expression" dxfId="1317" priority="737">
      <formula>#REF!=2</formula>
    </cfRule>
    <cfRule type="expression" dxfId="1316" priority="738">
      <formula>#REF!=1</formula>
    </cfRule>
  </conditionalFormatting>
  <conditionalFormatting sqref="FY13 FY22 FY30:FY32 FY48:FY49 FY68 FY75:FY79 FY89 FY104 FY82 FY133 FY85 FY144:FY146">
    <cfRule type="expression" dxfId="1315" priority="733">
      <formula>$A9=3</formula>
    </cfRule>
    <cfRule type="expression" dxfId="1314" priority="734">
      <formula>$A9=2</formula>
    </cfRule>
    <cfRule type="expression" dxfId="1313" priority="735">
      <formula>$A9=1</formula>
    </cfRule>
  </conditionalFormatting>
  <conditionalFormatting sqref="FY92 FY50 FY14 FY119 FY41 FY74 FY53 FY21:FY22 FY35:FY37 FY56 FY62 FY65 FY69:FY71 FY87:FY89 FY100:FY101 FY128 FY109:FY115 FY134:FY136 FY142:FY146">
    <cfRule type="expression" dxfId="1312" priority="730">
      <formula>$A12=3</formula>
    </cfRule>
    <cfRule type="expression" dxfId="1311" priority="731">
      <formula>$A12=2</formula>
    </cfRule>
    <cfRule type="expression" dxfId="1310" priority="732">
      <formula>$A12=1</formula>
    </cfRule>
  </conditionalFormatting>
  <conditionalFormatting sqref="FY72:FY73 FY120:FY121 FY137:FY140">
    <cfRule type="expression" dxfId="1309" priority="727">
      <formula>$A60=3</formula>
    </cfRule>
    <cfRule type="expression" dxfId="1308" priority="728">
      <formula>$A60=2</formula>
    </cfRule>
    <cfRule type="expression" dxfId="1307" priority="729">
      <formula>$A60=1</formula>
    </cfRule>
  </conditionalFormatting>
  <conditionalFormatting sqref="FY58 FY60:FY61">
    <cfRule type="expression" dxfId="1306" priority="724">
      <formula>$A35=3</formula>
    </cfRule>
    <cfRule type="expression" dxfId="1305" priority="725">
      <formula>$A35=2</formula>
    </cfRule>
    <cfRule type="expression" dxfId="1304" priority="726">
      <formula>$A35=1</formula>
    </cfRule>
  </conditionalFormatting>
  <conditionalFormatting sqref="FY120 FY68 FY48:FY58 FY24:FY46 FY17:FY22 FY73">
    <cfRule type="expression" dxfId="1303" priority="721">
      <formula>#REF!=3</formula>
    </cfRule>
    <cfRule type="expression" dxfId="1302" priority="722">
      <formula>#REF!=2</formula>
    </cfRule>
    <cfRule type="expression" dxfId="1301" priority="723">
      <formula>#REF!=1</formula>
    </cfRule>
  </conditionalFormatting>
  <conditionalFormatting sqref="FY28 FY63:FY64 FY79 FY104 FY106 FY82">
    <cfRule type="expression" dxfId="1300" priority="718">
      <formula>$A12=3</formula>
    </cfRule>
    <cfRule type="expression" dxfId="1299" priority="719">
      <formula>$A12=2</formula>
    </cfRule>
    <cfRule type="expression" dxfId="1298" priority="720">
      <formula>$A12=1</formula>
    </cfRule>
  </conditionalFormatting>
  <conditionalFormatting sqref="FY18:FY19 FY28 FY33:FY34 FY64 FY67 FY73 FY76 FY103 FY105:FY106 FY80 FY83">
    <cfRule type="expression" dxfId="1297" priority="715">
      <formula>$A8=3</formula>
    </cfRule>
    <cfRule type="expression" dxfId="1296" priority="716">
      <formula>$A8=2</formula>
    </cfRule>
    <cfRule type="expression" dxfId="1295" priority="717">
      <formula>$A8=1</formula>
    </cfRule>
  </conditionalFormatting>
  <conditionalFormatting sqref="FY47 FY44 FY41 FY36:FY38 FY32:FY34 FY21:FY29">
    <cfRule type="expression" dxfId="1294" priority="712">
      <formula>#REF!=3</formula>
    </cfRule>
    <cfRule type="expression" dxfId="1293" priority="713">
      <formula>#REF!=2</formula>
    </cfRule>
    <cfRule type="expression" dxfId="1292" priority="714">
      <formula>#REF!=1</formula>
    </cfRule>
  </conditionalFormatting>
  <conditionalFormatting sqref="FY27 FY30 FY53 FY56 FY69:FY71 FY74 FY99 FY105:FY106 FY87 FY81:FY83 FY90:FY91 FY142">
    <cfRule type="expression" dxfId="1291" priority="709">
      <formula>$A14=3</formula>
    </cfRule>
    <cfRule type="expression" dxfId="1290" priority="710">
      <formula>$A14=2</formula>
    </cfRule>
    <cfRule type="expression" dxfId="1289" priority="711">
      <formula>$A14=1</formula>
    </cfRule>
  </conditionalFormatting>
  <conditionalFormatting sqref="FY29 FY32 FY47 FY59 FY68 FY101 FY89 FY86 FY136:FY139">
    <cfRule type="expression" dxfId="1288" priority="706">
      <formula>$A15=3</formula>
    </cfRule>
    <cfRule type="expression" dxfId="1287" priority="707">
      <formula>$A15=2</formula>
    </cfRule>
    <cfRule type="expression" dxfId="1286" priority="708">
      <formula>$A15=1</formula>
    </cfRule>
  </conditionalFormatting>
  <conditionalFormatting sqref="FY177:FY65421">
    <cfRule type="expression" dxfId="1285" priority="703">
      <formula>$A147=3</formula>
    </cfRule>
    <cfRule type="expression" dxfId="1284" priority="704">
      <formula>$A147=2</formula>
    </cfRule>
    <cfRule type="expression" dxfId="1283" priority="705">
      <formula>$A147=1</formula>
    </cfRule>
  </conditionalFormatting>
  <conditionalFormatting sqref="FY44:FY55 FY23:FY40">
    <cfRule type="expression" dxfId="1282" priority="700">
      <formula>#REF!=3</formula>
    </cfRule>
    <cfRule type="expression" dxfId="1281" priority="701">
      <formula>#REF!=2</formula>
    </cfRule>
    <cfRule type="expression" dxfId="1280" priority="702">
      <formula>#REF!=1</formula>
    </cfRule>
  </conditionalFormatting>
  <conditionalFormatting sqref="FY47:FY49 FY65:FY67">
    <cfRule type="expression" dxfId="1279" priority="697">
      <formula>$A29=3</formula>
    </cfRule>
    <cfRule type="expression" dxfId="1278" priority="698">
      <formula>$A29=2</formula>
    </cfRule>
    <cfRule type="expression" dxfId="1277" priority="699">
      <formula>$A29=1</formula>
    </cfRule>
  </conditionalFormatting>
  <conditionalFormatting sqref="FY134:FY136 FY130 FY123:FY124 FY56:FY61 FY26:FY52 FY65 FY71 FY142">
    <cfRule type="expression" dxfId="1276" priority="694">
      <formula>#REF!=3</formula>
    </cfRule>
    <cfRule type="expression" dxfId="1275" priority="695">
      <formula>#REF!=2</formula>
    </cfRule>
    <cfRule type="expression" dxfId="1274" priority="696">
      <formula>#REF!=1</formula>
    </cfRule>
  </conditionalFormatting>
  <conditionalFormatting sqref="FY66:FY67">
    <cfRule type="expression" dxfId="1273" priority="688">
      <formula>$A51=3</formula>
    </cfRule>
    <cfRule type="expression" dxfId="1272" priority="689">
      <formula>$A51=2</formula>
    </cfRule>
    <cfRule type="expression" dxfId="1271" priority="690">
      <formula>$A51=1</formula>
    </cfRule>
  </conditionalFormatting>
  <conditionalFormatting sqref="FY44 FY26:FY41">
    <cfRule type="expression" dxfId="1270" priority="685">
      <formula>#REF!=3</formula>
    </cfRule>
    <cfRule type="expression" dxfId="1269" priority="686">
      <formula>#REF!=2</formula>
    </cfRule>
    <cfRule type="expression" dxfId="1268" priority="687">
      <formula>#REF!=1</formula>
    </cfRule>
  </conditionalFormatting>
  <conditionalFormatting sqref="FY20 FY32 FY37 FY40 FY95 FY99 FY133 FY92 FY116">
    <cfRule type="expression" dxfId="1267" priority="682">
      <formula>$A9=3</formula>
    </cfRule>
    <cfRule type="expression" dxfId="1266" priority="683">
      <formula>$A9=2</formula>
    </cfRule>
    <cfRule type="expression" dxfId="1265" priority="684">
      <formula>$A9=1</formula>
    </cfRule>
  </conditionalFormatting>
  <conditionalFormatting sqref="FY119">
    <cfRule type="expression" dxfId="1264" priority="679">
      <formula>$A98=3</formula>
    </cfRule>
    <cfRule type="expression" dxfId="1263" priority="680">
      <formula>$A98=2</formula>
    </cfRule>
    <cfRule type="expression" dxfId="1262" priority="681">
      <formula>$A98=1</formula>
    </cfRule>
  </conditionalFormatting>
  <conditionalFormatting sqref="FY52 FY63:FY65">
    <cfRule type="expression" dxfId="1261" priority="676">
      <formula>$A32=3</formula>
    </cfRule>
    <cfRule type="expression" dxfId="1260" priority="677">
      <formula>$A32=2</formula>
    </cfRule>
    <cfRule type="expression" dxfId="1259" priority="678">
      <formula>$A32=1</formula>
    </cfRule>
  </conditionalFormatting>
  <conditionalFormatting sqref="FY30:FY49">
    <cfRule type="expression" dxfId="1258" priority="673">
      <formula>#REF!=3</formula>
    </cfRule>
    <cfRule type="expression" dxfId="1257" priority="674">
      <formula>#REF!=2</formula>
    </cfRule>
    <cfRule type="expression" dxfId="1256" priority="675">
      <formula>#REF!=1</formula>
    </cfRule>
  </conditionalFormatting>
  <conditionalFormatting sqref="FY123:FY124">
    <cfRule type="expression" dxfId="1255" priority="670">
      <formula>$A102=3</formula>
    </cfRule>
    <cfRule type="expression" dxfId="1254" priority="671">
      <formula>$A102=2</formula>
    </cfRule>
    <cfRule type="expression" dxfId="1253" priority="672">
      <formula>$A102=1</formula>
    </cfRule>
  </conditionalFormatting>
  <conditionalFormatting sqref="FY124">
    <cfRule type="expression" dxfId="1252" priority="664">
      <formula>$A105=3</formula>
    </cfRule>
    <cfRule type="expression" dxfId="1251" priority="665">
      <formula>$A105=2</formula>
    </cfRule>
    <cfRule type="expression" dxfId="1250" priority="666">
      <formula>$A105=1</formula>
    </cfRule>
  </conditionalFormatting>
  <conditionalFormatting sqref="FY45:FY46 FY69:FY70 FY78:FY79">
    <cfRule type="expression" dxfId="1249" priority="661">
      <formula>$A23=3</formula>
    </cfRule>
    <cfRule type="expression" dxfId="1248" priority="662">
      <formula>$A23=2</formula>
    </cfRule>
    <cfRule type="expression" dxfId="1247" priority="663">
      <formula>$A23=1</formula>
    </cfRule>
  </conditionalFormatting>
  <conditionalFormatting sqref="FY41 FY60:FY61 FY106 FY125 FY89 FY116 FY137:FY139">
    <cfRule type="expression" dxfId="1246" priority="655">
      <formula>$A33=3</formula>
    </cfRule>
    <cfRule type="expression" dxfId="1245" priority="656">
      <formula>$A33=2</formula>
    </cfRule>
    <cfRule type="expression" dxfId="1244" priority="657">
      <formula>$A33=1</formula>
    </cfRule>
  </conditionalFormatting>
  <conditionalFormatting sqref="FY117">
    <cfRule type="expression" dxfId="1243" priority="652">
      <formula>#REF!=3</formula>
    </cfRule>
    <cfRule type="expression" dxfId="1242" priority="653">
      <formula>#REF!=2</formula>
    </cfRule>
    <cfRule type="expression" dxfId="1241" priority="654">
      <formula>#REF!=1</formula>
    </cfRule>
  </conditionalFormatting>
  <conditionalFormatting sqref="FY76">
    <cfRule type="expression" dxfId="1240" priority="649">
      <formula>$A53=3</formula>
    </cfRule>
    <cfRule type="expression" dxfId="1239" priority="650">
      <formula>$A53=2</formula>
    </cfRule>
    <cfRule type="expression" dxfId="1238" priority="651">
      <formula>$A53=1</formula>
    </cfRule>
  </conditionalFormatting>
  <conditionalFormatting sqref="FY17:FY19 FY41:FY43 FY47:FY49 FY107 FY87">
    <cfRule type="expression" dxfId="1237" priority="646">
      <formula>$A11=3</formula>
    </cfRule>
    <cfRule type="expression" dxfId="1236" priority="647">
      <formula>$A11=2</formula>
    </cfRule>
    <cfRule type="expression" dxfId="1235" priority="648">
      <formula>$A11=1</formula>
    </cfRule>
  </conditionalFormatting>
  <conditionalFormatting sqref="FY35">
    <cfRule type="expression" dxfId="1234" priority="643">
      <formula>$A19=3</formula>
    </cfRule>
    <cfRule type="expression" dxfId="1233" priority="644">
      <formula>$A19=2</formula>
    </cfRule>
    <cfRule type="expression" dxfId="1232" priority="645">
      <formula>$A19=1</formula>
    </cfRule>
  </conditionalFormatting>
  <conditionalFormatting sqref="FY47">
    <cfRule type="expression" dxfId="1231" priority="640">
      <formula>$A26=3</formula>
    </cfRule>
    <cfRule type="expression" dxfId="1230" priority="641">
      <formula>$A26=2</formula>
    </cfRule>
    <cfRule type="expression" dxfId="1229" priority="642">
      <formula>$A26=1</formula>
    </cfRule>
  </conditionalFormatting>
  <conditionalFormatting sqref="FY116">
    <cfRule type="expression" dxfId="1228" priority="637">
      <formula>$A96=3</formula>
    </cfRule>
    <cfRule type="expression" dxfId="1227" priority="638">
      <formula>$A96=2</formula>
    </cfRule>
    <cfRule type="expression" dxfId="1226" priority="639">
      <formula>$A96=1</formula>
    </cfRule>
  </conditionalFormatting>
  <conditionalFormatting sqref="FY195:FY65421">
    <cfRule type="expression" dxfId="1225" priority="634">
      <formula>$A147=3</formula>
    </cfRule>
    <cfRule type="expression" dxfId="1224" priority="635">
      <formula>$A147=2</formula>
    </cfRule>
    <cfRule type="expression" dxfId="1223" priority="636">
      <formula>$A147=1</formula>
    </cfRule>
  </conditionalFormatting>
  <conditionalFormatting sqref="FY54:FY61">
    <cfRule type="expression" dxfId="1222" priority="631">
      <formula>#REF!=3</formula>
    </cfRule>
    <cfRule type="expression" dxfId="1221" priority="632">
      <formula>#REF!=2</formula>
    </cfRule>
    <cfRule type="expression" dxfId="1220" priority="633">
      <formula>#REF!=1</formula>
    </cfRule>
  </conditionalFormatting>
  <conditionalFormatting sqref="FY42:FY43">
    <cfRule type="expression" dxfId="1219" priority="628">
      <formula>$A18=3</formula>
    </cfRule>
    <cfRule type="expression" dxfId="1218" priority="629">
      <formula>$A18=2</formula>
    </cfRule>
    <cfRule type="expression" dxfId="1217" priority="630">
      <formula>$A18=1</formula>
    </cfRule>
  </conditionalFormatting>
  <conditionalFormatting sqref="FY341:FY65421">
    <cfRule type="expression" dxfId="1216" priority="625">
      <formula>$A147=3</formula>
    </cfRule>
    <cfRule type="expression" dxfId="1215" priority="626">
      <formula>$A147=2</formula>
    </cfRule>
    <cfRule type="expression" dxfId="1214" priority="627">
      <formula>$A147=1</formula>
    </cfRule>
  </conditionalFormatting>
  <conditionalFormatting sqref="FY61 FY59">
    <cfRule type="expression" dxfId="1213" priority="622">
      <formula>#REF!=3</formula>
    </cfRule>
    <cfRule type="expression" dxfId="1212" priority="623">
      <formula>#REF!=2</formula>
    </cfRule>
    <cfRule type="expression" dxfId="1211" priority="624">
      <formula>#REF!=1</formula>
    </cfRule>
  </conditionalFormatting>
  <conditionalFormatting sqref="FY41">
    <cfRule type="expression" dxfId="1210" priority="619">
      <formula>$A17=3</formula>
    </cfRule>
    <cfRule type="expression" dxfId="1209" priority="620">
      <formula>$A17=2</formula>
    </cfRule>
    <cfRule type="expression" dxfId="1208" priority="621">
      <formula>$A17=1</formula>
    </cfRule>
  </conditionalFormatting>
  <conditionalFormatting sqref="FY58">
    <cfRule type="expression" dxfId="1207" priority="616">
      <formula>$A38=3</formula>
    </cfRule>
    <cfRule type="expression" dxfId="1206" priority="617">
      <formula>$A38=2</formula>
    </cfRule>
    <cfRule type="expression" dxfId="1205" priority="618">
      <formula>$A38=1</formula>
    </cfRule>
  </conditionalFormatting>
  <conditionalFormatting sqref="FY57:FY58">
    <cfRule type="expression" dxfId="1204" priority="613">
      <formula>$A33=3</formula>
    </cfRule>
    <cfRule type="expression" dxfId="1203" priority="614">
      <formula>$A33=2</formula>
    </cfRule>
    <cfRule type="expression" dxfId="1202" priority="615">
      <formula>$A33=1</formula>
    </cfRule>
  </conditionalFormatting>
  <conditionalFormatting sqref="FY361:FY65421">
    <cfRule type="expression" dxfId="1201" priority="610">
      <formula>$A147=3</formula>
    </cfRule>
    <cfRule type="expression" dxfId="1200" priority="611">
      <formula>$A147=2</formula>
    </cfRule>
    <cfRule type="expression" dxfId="1199" priority="612">
      <formula>$A147=1</formula>
    </cfRule>
  </conditionalFormatting>
  <conditionalFormatting sqref="FY36 FY30:FY31 FY24:FY25 FY21 FY15 FY39:FY315">
    <cfRule type="expression" dxfId="1198" priority="607">
      <formula>#REF!=3</formula>
    </cfRule>
    <cfRule type="expression" dxfId="1197" priority="608">
      <formula>#REF!=2</formula>
    </cfRule>
    <cfRule type="expression" dxfId="1196" priority="609">
      <formula>#REF!=1</formula>
    </cfRule>
  </conditionalFormatting>
  <conditionalFormatting sqref="FY328:FY65421">
    <cfRule type="expression" dxfId="1195" priority="604">
      <formula>$A147=3</formula>
    </cfRule>
    <cfRule type="expression" dxfId="1194" priority="605">
      <formula>$A147=2</formula>
    </cfRule>
    <cfRule type="expression" dxfId="1193" priority="606">
      <formula>$A147=1</formula>
    </cfRule>
  </conditionalFormatting>
  <conditionalFormatting sqref="FY39:FY40 FY45:FY331">
    <cfRule type="expression" dxfId="1192" priority="601">
      <formula>#REF!=3</formula>
    </cfRule>
    <cfRule type="expression" dxfId="1191" priority="602">
      <formula>#REF!=2</formula>
    </cfRule>
    <cfRule type="expression" dxfId="1190" priority="603">
      <formula>#REF!=1</formula>
    </cfRule>
  </conditionalFormatting>
  <conditionalFormatting sqref="FY344:FY65421">
    <cfRule type="expression" dxfId="1189" priority="598">
      <formula>$A147=3</formula>
    </cfRule>
    <cfRule type="expression" dxfId="1188" priority="599">
      <formula>$A147=2</formula>
    </cfRule>
    <cfRule type="expression" dxfId="1187" priority="600">
      <formula>$A147=1</formula>
    </cfRule>
  </conditionalFormatting>
  <conditionalFormatting sqref="FY48:FY351">
    <cfRule type="expression" dxfId="1186" priority="595">
      <formula>#REF!=3</formula>
    </cfRule>
    <cfRule type="expression" dxfId="1185" priority="596">
      <formula>#REF!=2</formula>
    </cfRule>
    <cfRule type="expression" dxfId="1184" priority="597">
      <formula>#REF!=1</formula>
    </cfRule>
  </conditionalFormatting>
  <conditionalFormatting sqref="FY325:FY65421">
    <cfRule type="expression" dxfId="1183" priority="592">
      <formula>$A147=3</formula>
    </cfRule>
    <cfRule type="expression" dxfId="1182" priority="593">
      <formula>$A147=2</formula>
    </cfRule>
    <cfRule type="expression" dxfId="1181" priority="594">
      <formula>$A147=1</formula>
    </cfRule>
  </conditionalFormatting>
  <conditionalFormatting sqref="FY198:FY65421">
    <cfRule type="expression" dxfId="1180" priority="589">
      <formula>$A147=3</formula>
    </cfRule>
    <cfRule type="expression" dxfId="1179" priority="590">
      <formula>$A147=2</formula>
    </cfRule>
    <cfRule type="expression" dxfId="1178" priority="591">
      <formula>$A147=1</formula>
    </cfRule>
  </conditionalFormatting>
  <conditionalFormatting sqref="FY118 FY47">
    <cfRule type="expression" dxfId="1177" priority="586">
      <formula>#REF!=3</formula>
    </cfRule>
    <cfRule type="expression" dxfId="1176" priority="587">
      <formula>#REF!=2</formula>
    </cfRule>
    <cfRule type="expression" dxfId="1175" priority="588">
      <formula>#REF!=1</formula>
    </cfRule>
  </conditionalFormatting>
  <conditionalFormatting sqref="FY70">
    <cfRule type="expression" dxfId="1174" priority="583">
      <formula>$A47=3</formula>
    </cfRule>
    <cfRule type="expression" dxfId="1173" priority="584">
      <formula>$A47=2</formula>
    </cfRule>
    <cfRule type="expression" dxfId="1172" priority="585">
      <formula>$A47=1</formula>
    </cfRule>
  </conditionalFormatting>
  <conditionalFormatting sqref="FY63:FY64">
    <cfRule type="expression" dxfId="1171" priority="580">
      <formula>$A47=3</formula>
    </cfRule>
    <cfRule type="expression" dxfId="1170" priority="581">
      <formula>$A47=2</formula>
    </cfRule>
    <cfRule type="expression" dxfId="1169" priority="582">
      <formula>$A47=1</formula>
    </cfRule>
  </conditionalFormatting>
  <conditionalFormatting sqref="FY73">
    <cfRule type="expression" dxfId="1168" priority="577">
      <formula>$A50=3</formula>
    </cfRule>
    <cfRule type="expression" dxfId="1167" priority="578">
      <formula>$A50=2</formula>
    </cfRule>
    <cfRule type="expression" dxfId="1166" priority="579">
      <formula>$A50=1</formula>
    </cfRule>
  </conditionalFormatting>
  <conditionalFormatting sqref="FY74">
    <cfRule type="expression" dxfId="1165" priority="574">
      <formula>$A50=3</formula>
    </cfRule>
    <cfRule type="expression" dxfId="1164" priority="575">
      <formula>$A50=2</formula>
    </cfRule>
    <cfRule type="expression" dxfId="1163" priority="576">
      <formula>$A50=1</formula>
    </cfRule>
  </conditionalFormatting>
  <conditionalFormatting sqref="FY65">
    <cfRule type="expression" dxfId="1162" priority="571">
      <formula>$A50=3</formula>
    </cfRule>
    <cfRule type="expression" dxfId="1161" priority="572">
      <formula>$A50=2</formula>
    </cfRule>
    <cfRule type="expression" dxfId="1160" priority="573">
      <formula>$A50=1</formula>
    </cfRule>
  </conditionalFormatting>
  <conditionalFormatting sqref="FY75:FY76">
    <cfRule type="expression" dxfId="1159" priority="568">
      <formula>$A51=3</formula>
    </cfRule>
    <cfRule type="expression" dxfId="1158" priority="569">
      <formula>$A51=2</formula>
    </cfRule>
    <cfRule type="expression" dxfId="1157" priority="570">
      <formula>$A51=1</formula>
    </cfRule>
  </conditionalFormatting>
  <conditionalFormatting sqref="FY78">
    <cfRule type="expression" dxfId="1156" priority="565">
      <formula>$A56=3</formula>
    </cfRule>
    <cfRule type="expression" dxfId="1155" priority="566">
      <formula>$A56=2</formula>
    </cfRule>
    <cfRule type="expression" dxfId="1154" priority="567">
      <formula>$A56=1</formula>
    </cfRule>
  </conditionalFormatting>
  <conditionalFormatting sqref="FY71">
    <cfRule type="expression" dxfId="1153" priority="562">
      <formula>$A59=3</formula>
    </cfRule>
    <cfRule type="expression" dxfId="1152" priority="563">
      <formula>$A59=2</formula>
    </cfRule>
    <cfRule type="expression" dxfId="1151" priority="564">
      <formula>$A59=1</formula>
    </cfRule>
  </conditionalFormatting>
  <conditionalFormatting sqref="FY84:FY85">
    <cfRule type="expression" dxfId="1150" priority="559">
      <formula>$A68=3</formula>
    </cfRule>
    <cfRule type="expression" dxfId="1149" priority="560">
      <formula>$A68=2</formula>
    </cfRule>
    <cfRule type="expression" dxfId="1148" priority="561">
      <formula>$A68=1</formula>
    </cfRule>
  </conditionalFormatting>
  <conditionalFormatting sqref="FY91">
    <cfRule type="expression" dxfId="1147" priority="556">
      <formula>$A83=3</formula>
    </cfRule>
    <cfRule type="expression" dxfId="1146" priority="557">
      <formula>$A83=2</formula>
    </cfRule>
    <cfRule type="expression" dxfId="1145" priority="558">
      <formula>$A83=1</formula>
    </cfRule>
  </conditionalFormatting>
  <conditionalFormatting sqref="FY87">
    <cfRule type="expression" dxfId="1144" priority="553">
      <formula>$A74=3</formula>
    </cfRule>
    <cfRule type="expression" dxfId="1143" priority="554">
      <formula>$A74=2</formula>
    </cfRule>
    <cfRule type="expression" dxfId="1142" priority="555">
      <formula>$A74=1</formula>
    </cfRule>
  </conditionalFormatting>
  <conditionalFormatting sqref="FY84:FY85">
    <cfRule type="expression" dxfId="1141" priority="550">
      <formula>$A77=3</formula>
    </cfRule>
    <cfRule type="expression" dxfId="1140" priority="551">
      <formula>$A77=2</formula>
    </cfRule>
    <cfRule type="expression" dxfId="1139" priority="552">
      <formula>$A77=1</formula>
    </cfRule>
  </conditionalFormatting>
  <conditionalFormatting sqref="FY94 FY91:FY92 FY114">
    <cfRule type="expression" dxfId="1138" priority="547">
      <formula>#REF!=3</formula>
    </cfRule>
    <cfRule type="expression" dxfId="1137" priority="548">
      <formula>#REF!=2</formula>
    </cfRule>
    <cfRule type="expression" dxfId="1136" priority="549">
      <formula>#REF!=1</formula>
    </cfRule>
  </conditionalFormatting>
  <conditionalFormatting sqref="FY97">
    <cfRule type="expression" dxfId="1135" priority="544">
      <formula>$A80=3</formula>
    </cfRule>
    <cfRule type="expression" dxfId="1134" priority="545">
      <formula>$A80=2</formula>
    </cfRule>
    <cfRule type="expression" dxfId="1133" priority="546">
      <formula>$A80=1</formula>
    </cfRule>
  </conditionalFormatting>
  <conditionalFormatting sqref="FY96">
    <cfRule type="expression" dxfId="1132" priority="541">
      <formula>$A83=3</formula>
    </cfRule>
    <cfRule type="expression" dxfId="1131" priority="542">
      <formula>$A83=2</formula>
    </cfRule>
    <cfRule type="expression" dxfId="1130" priority="543">
      <formula>$A83=1</formula>
    </cfRule>
  </conditionalFormatting>
  <conditionalFormatting sqref="FY104">
    <cfRule type="expression" dxfId="1129" priority="538">
      <formula>$A89=3</formula>
    </cfRule>
    <cfRule type="expression" dxfId="1128" priority="539">
      <formula>$A89=2</formula>
    </cfRule>
    <cfRule type="expression" dxfId="1127" priority="540">
      <formula>$A89=1</formula>
    </cfRule>
  </conditionalFormatting>
  <conditionalFormatting sqref="FY103">
    <cfRule type="expression" dxfId="1126" priority="535">
      <formula>$A89=3</formula>
    </cfRule>
    <cfRule type="expression" dxfId="1125" priority="536">
      <formula>$A89=2</formula>
    </cfRule>
    <cfRule type="expression" dxfId="1124" priority="537">
      <formula>$A89=1</formula>
    </cfRule>
  </conditionalFormatting>
  <conditionalFormatting sqref="FY136:FY139 FY119:FY121 FY108">
    <cfRule type="expression" dxfId="1123" priority="532">
      <formula>#REF!=3</formula>
    </cfRule>
    <cfRule type="expression" dxfId="1122" priority="533">
      <formula>#REF!=2</formula>
    </cfRule>
    <cfRule type="expression" dxfId="1121" priority="534">
      <formula>#REF!=1</formula>
    </cfRule>
  </conditionalFormatting>
  <conditionalFormatting sqref="FY59">
    <cfRule type="expression" dxfId="1120" priority="529">
      <formula>$A34=3</formula>
    </cfRule>
    <cfRule type="expression" dxfId="1119" priority="530">
      <formula>$A34=2</formula>
    </cfRule>
    <cfRule type="expression" dxfId="1118" priority="531">
      <formula>$A34=1</formula>
    </cfRule>
  </conditionalFormatting>
  <conditionalFormatting sqref="FY122">
    <cfRule type="expression" dxfId="1117" priority="526">
      <formula>$A100=3</formula>
    </cfRule>
    <cfRule type="expression" dxfId="1116" priority="527">
      <formula>$A100=2</formula>
    </cfRule>
    <cfRule type="expression" dxfId="1115" priority="528">
      <formula>$A100=1</formula>
    </cfRule>
  </conditionalFormatting>
  <conditionalFormatting sqref="FY131 FY134:FY139 FY121 FY109:FY115 FY40">
    <cfRule type="expression" dxfId="1114" priority="523">
      <formula>#REF!=3</formula>
    </cfRule>
    <cfRule type="expression" dxfId="1113" priority="524">
      <formula>#REF!=2</formula>
    </cfRule>
    <cfRule type="expression" dxfId="1112" priority="525">
      <formula>#REF!=1</formula>
    </cfRule>
  </conditionalFormatting>
  <conditionalFormatting sqref="FY301:FY65421">
    <cfRule type="expression" dxfId="1111" priority="520">
      <formula>$A147=3</formula>
    </cfRule>
    <cfRule type="expression" dxfId="1110" priority="521">
      <formula>$A147=2</formula>
    </cfRule>
    <cfRule type="expression" dxfId="1109" priority="522">
      <formula>$A147=1</formula>
    </cfRule>
  </conditionalFormatting>
  <conditionalFormatting sqref="FY130">
    <cfRule type="expression" dxfId="1108" priority="517">
      <formula>$A107=3</formula>
    </cfRule>
    <cfRule type="expression" dxfId="1107" priority="518">
      <formula>$A107=2</formula>
    </cfRule>
    <cfRule type="expression" dxfId="1106" priority="519">
      <formula>$A107=1</formula>
    </cfRule>
  </conditionalFormatting>
  <conditionalFormatting sqref="FY123:FY124">
    <cfRule type="expression" dxfId="1105" priority="514">
      <formula>$A107=3</formula>
    </cfRule>
    <cfRule type="expression" dxfId="1104" priority="515">
      <formula>$A107=2</formula>
    </cfRule>
    <cfRule type="expression" dxfId="1103" priority="516">
      <formula>$A107=1</formula>
    </cfRule>
  </conditionalFormatting>
  <conditionalFormatting sqref="FY304:FY65421">
    <cfRule type="expression" dxfId="1102" priority="511">
      <formula>$A147=3</formula>
    </cfRule>
    <cfRule type="expression" dxfId="1101" priority="512">
      <formula>$A147=2</formula>
    </cfRule>
    <cfRule type="expression" dxfId="1100" priority="513">
      <formula>$A147=1</formula>
    </cfRule>
  </conditionalFormatting>
  <conditionalFormatting sqref="FY140">
    <cfRule type="expression" dxfId="1099" priority="508">
      <formula>$A122=3</formula>
    </cfRule>
    <cfRule type="expression" dxfId="1098" priority="509">
      <formula>$A122=2</formula>
    </cfRule>
    <cfRule type="expression" dxfId="1097" priority="510">
      <formula>$A122=1</formula>
    </cfRule>
  </conditionalFormatting>
  <conditionalFormatting sqref="FY142">
    <cfRule type="expression" dxfId="1096" priority="505">
      <formula>$A122=3</formula>
    </cfRule>
    <cfRule type="expression" dxfId="1095" priority="506">
      <formula>$A122=2</formula>
    </cfRule>
    <cfRule type="expression" dxfId="1094" priority="507">
      <formula>$A122=1</formula>
    </cfRule>
  </conditionalFormatting>
  <conditionalFormatting sqref="FY280:FY65421">
    <cfRule type="expression" dxfId="1093" priority="496">
      <formula>$A147=3</formula>
    </cfRule>
    <cfRule type="expression" dxfId="1092" priority="497">
      <formula>$A147=2</formula>
    </cfRule>
    <cfRule type="expression" dxfId="1091" priority="498">
      <formula>$A147=1</formula>
    </cfRule>
  </conditionalFormatting>
  <conditionalFormatting sqref="FY283:FY65421">
    <cfRule type="expression" dxfId="1090" priority="490">
      <formula>$A147=3</formula>
    </cfRule>
    <cfRule type="expression" dxfId="1089" priority="491">
      <formula>$A147=2</formula>
    </cfRule>
    <cfRule type="expression" dxfId="1088" priority="492">
      <formula>$A147=1</formula>
    </cfRule>
  </conditionalFormatting>
  <conditionalFormatting sqref="FY266:FY65421">
    <cfRule type="expression" dxfId="1087" priority="487">
      <formula>$A147=3</formula>
    </cfRule>
    <cfRule type="expression" dxfId="1086" priority="488">
      <formula>$A147=2</formula>
    </cfRule>
    <cfRule type="expression" dxfId="1085" priority="489">
      <formula>$A147=1</formula>
    </cfRule>
  </conditionalFormatting>
  <conditionalFormatting sqref="FY145">
    <cfRule type="expression" dxfId="1084" priority="484">
      <formula>#REF!=3</formula>
    </cfRule>
    <cfRule type="expression" dxfId="1083" priority="485">
      <formula>#REF!=2</formula>
    </cfRule>
    <cfRule type="expression" dxfId="1082" priority="486">
      <formula>#REF!=1</formula>
    </cfRule>
  </conditionalFormatting>
  <conditionalFormatting sqref="FY263:FY65421">
    <cfRule type="expression" dxfId="1081" priority="481">
      <formula>$A147=3</formula>
    </cfRule>
    <cfRule type="expression" dxfId="1080" priority="482">
      <formula>$A147=2</formula>
    </cfRule>
    <cfRule type="expression" dxfId="1079" priority="483">
      <formula>$A147=1</formula>
    </cfRule>
  </conditionalFormatting>
  <conditionalFormatting sqref="FY232:FY65421">
    <cfRule type="expression" dxfId="1078" priority="478">
      <formula>$A147=3</formula>
    </cfRule>
    <cfRule type="expression" dxfId="1077" priority="479">
      <formula>$A147=2</formula>
    </cfRule>
    <cfRule type="expression" dxfId="1076" priority="480">
      <formula>$A147=1</formula>
    </cfRule>
  </conditionalFormatting>
  <conditionalFormatting sqref="FY229:FY65421">
    <cfRule type="expression" dxfId="1075" priority="475">
      <formula>$A147=3</formula>
    </cfRule>
    <cfRule type="expression" dxfId="1074" priority="476">
      <formula>$A147=2</formula>
    </cfRule>
    <cfRule type="expression" dxfId="1073" priority="477">
      <formula>$A147=1</formula>
    </cfRule>
  </conditionalFormatting>
  <conditionalFormatting sqref="FY145:FY146 FY71">
    <cfRule type="expression" dxfId="1072" priority="472">
      <formula>#REF!=3</formula>
    </cfRule>
    <cfRule type="expression" dxfId="1071" priority="473">
      <formula>#REF!=2</formula>
    </cfRule>
    <cfRule type="expression" dxfId="1070" priority="474">
      <formula>#REF!=1</formula>
    </cfRule>
  </conditionalFormatting>
  <conditionalFormatting sqref="FY215:FY65421">
    <cfRule type="expression" dxfId="1069" priority="469">
      <formula>$A147=3</formula>
    </cfRule>
    <cfRule type="expression" dxfId="1068" priority="470">
      <formula>$A147=2</formula>
    </cfRule>
    <cfRule type="expression" dxfId="1067" priority="471">
      <formula>$A147=1</formula>
    </cfRule>
  </conditionalFormatting>
  <conditionalFormatting sqref="FY218:FY65421">
    <cfRule type="expression" dxfId="1066" priority="466">
      <formula>$A147=3</formula>
    </cfRule>
    <cfRule type="expression" dxfId="1065" priority="467">
      <formula>$A147=2</formula>
    </cfRule>
    <cfRule type="expression" dxfId="1064" priority="468">
      <formula>$A147=1</formula>
    </cfRule>
  </conditionalFormatting>
  <conditionalFormatting sqref="R87:S88">
    <cfRule type="expression" dxfId="1063" priority="463">
      <formula>$A87=3</formula>
    </cfRule>
    <cfRule type="expression" dxfId="1062" priority="464">
      <formula>$A87=2</formula>
    </cfRule>
    <cfRule type="expression" dxfId="1061" priority="465">
      <formula>$A87=1</formula>
    </cfRule>
  </conditionalFormatting>
  <conditionalFormatting sqref="FY119:FY120 FY117 FY122:FY123 FY125:FY128 FY104:FY107 FY88:FY89 FY96:FY102 FY86 FY37:FY38 FY32 FY23 FY14 FY12 FY17:FY18 FY74:FY75 FY53:FY56 FY21 FY26:FY30 FY35 FY50 FY41:FY48 FY58:FY66 FY69:FY72 FY77:FY84 FY130:FY132 FY134:FY146">
    <cfRule type="expression" dxfId="1060" priority="460">
      <formula>#REF!=3</formula>
    </cfRule>
    <cfRule type="expression" dxfId="1059" priority="461">
      <formula>#REF!=2</formula>
    </cfRule>
    <cfRule type="expression" dxfId="1058" priority="462">
      <formula>#REF!=1</formula>
    </cfRule>
  </conditionalFormatting>
  <conditionalFormatting sqref="FY67">
    <cfRule type="expression" dxfId="1057" priority="457">
      <formula>$A41=3</formula>
    </cfRule>
    <cfRule type="expression" dxfId="1056" priority="458">
      <formula>$A41=2</formula>
    </cfRule>
    <cfRule type="expression" dxfId="1055" priority="459">
      <formula>$A41=1</formula>
    </cfRule>
  </conditionalFormatting>
  <conditionalFormatting sqref="FY143:FY145 FY116 FY119 FY81 FY77 FY74 FY71 FY62 FY53 FY47 FY35">
    <cfRule type="expression" dxfId="1054" priority="454">
      <formula>#REF!=3</formula>
    </cfRule>
    <cfRule type="expression" dxfId="1053" priority="455">
      <formula>#REF!=2</formula>
    </cfRule>
    <cfRule type="expression" dxfId="1052" priority="456">
      <formula>#REF!=1</formula>
    </cfRule>
  </conditionalFormatting>
  <conditionalFormatting sqref="FY146">
    <cfRule type="expression" dxfId="1051" priority="445">
      <formula>#REF!=3</formula>
    </cfRule>
    <cfRule type="expression" dxfId="1050" priority="446">
      <formula>#REF!=2</formula>
    </cfRule>
    <cfRule type="expression" dxfId="1049" priority="447">
      <formula>#REF!=1</formula>
    </cfRule>
  </conditionalFormatting>
  <conditionalFormatting sqref="FY146">
    <cfRule type="expression" dxfId="1048" priority="442">
      <formula>$A141=3</formula>
    </cfRule>
    <cfRule type="expression" dxfId="1047" priority="443">
      <formula>$A141=2</formula>
    </cfRule>
    <cfRule type="expression" dxfId="1046" priority="444">
      <formula>$A141=1</formula>
    </cfRule>
  </conditionalFormatting>
  <conditionalFormatting sqref="O87:R88">
    <cfRule type="expression" dxfId="1045" priority="436">
      <formula>$A87=3</formula>
    </cfRule>
    <cfRule type="expression" dxfId="1044" priority="437">
      <formula>$A87=2</formula>
    </cfRule>
    <cfRule type="expression" dxfId="1043" priority="438">
      <formula>$A87=1</formula>
    </cfRule>
  </conditionalFormatting>
  <conditionalFormatting sqref="FY157">
    <cfRule type="expression" dxfId="1042" priority="409">
      <formula>#REF!=3</formula>
    </cfRule>
    <cfRule type="expression" dxfId="1041" priority="410">
      <formula>#REF!=2</formula>
    </cfRule>
    <cfRule type="expression" dxfId="1040" priority="411">
      <formula>#REF!=1</formula>
    </cfRule>
  </conditionalFormatting>
  <conditionalFormatting sqref="FY155">
    <cfRule type="expression" dxfId="1039" priority="406">
      <formula>#REF!=3</formula>
    </cfRule>
    <cfRule type="expression" dxfId="1038" priority="407">
      <formula>#REF!=2</formula>
    </cfRule>
    <cfRule type="expression" dxfId="1037" priority="408">
      <formula>#REF!=1</formula>
    </cfRule>
  </conditionalFormatting>
  <conditionalFormatting sqref="FY159">
    <cfRule type="expression" dxfId="1036" priority="403">
      <formula>#REF!=3</formula>
    </cfRule>
    <cfRule type="expression" dxfId="1035" priority="404">
      <formula>#REF!=2</formula>
    </cfRule>
    <cfRule type="expression" dxfId="1034" priority="405">
      <formula>#REF!=1</formula>
    </cfRule>
  </conditionalFormatting>
  <conditionalFormatting sqref="FY171">
    <cfRule type="expression" dxfId="1033" priority="400">
      <formula>#REF!=3</formula>
    </cfRule>
    <cfRule type="expression" dxfId="1032" priority="401">
      <formula>#REF!=2</formula>
    </cfRule>
    <cfRule type="expression" dxfId="1031" priority="402">
      <formula>#REF!=1</formula>
    </cfRule>
  </conditionalFormatting>
  <conditionalFormatting sqref="FY168">
    <cfRule type="expression" dxfId="1030" priority="397">
      <formula>#REF!=3</formula>
    </cfRule>
    <cfRule type="expression" dxfId="1029" priority="398">
      <formula>#REF!=2</formula>
    </cfRule>
    <cfRule type="expression" dxfId="1028" priority="399">
      <formula>#REF!=1</formula>
    </cfRule>
  </conditionalFormatting>
  <conditionalFormatting sqref="FY186">
    <cfRule type="expression" dxfId="1027" priority="394">
      <formula>#REF!=3</formula>
    </cfRule>
    <cfRule type="expression" dxfId="1026" priority="395">
      <formula>#REF!=2</formula>
    </cfRule>
    <cfRule type="expression" dxfId="1025" priority="396">
      <formula>#REF!=1</formula>
    </cfRule>
  </conditionalFormatting>
  <conditionalFormatting sqref="FY332">
    <cfRule type="expression" dxfId="1024" priority="391">
      <formula>#REF!=3</formula>
    </cfRule>
    <cfRule type="expression" dxfId="1023" priority="392">
      <formula>#REF!=2</formula>
    </cfRule>
    <cfRule type="expression" dxfId="1022" priority="393">
      <formula>#REF!=1</formula>
    </cfRule>
  </conditionalFormatting>
  <conditionalFormatting sqref="FY352">
    <cfRule type="expression" dxfId="1021" priority="388">
      <formula>#REF!=3</formula>
    </cfRule>
    <cfRule type="expression" dxfId="1020" priority="389">
      <formula>#REF!=2</formula>
    </cfRule>
    <cfRule type="expression" dxfId="1019" priority="390">
      <formula>#REF!=1</formula>
    </cfRule>
  </conditionalFormatting>
  <conditionalFormatting sqref="FY319">
    <cfRule type="expression" dxfId="1018" priority="385">
      <formula>#REF!=3</formula>
    </cfRule>
    <cfRule type="expression" dxfId="1017" priority="386">
      <formula>#REF!=2</formula>
    </cfRule>
    <cfRule type="expression" dxfId="1016" priority="387">
      <formula>#REF!=1</formula>
    </cfRule>
  </conditionalFormatting>
  <conditionalFormatting sqref="FY335">
    <cfRule type="expression" dxfId="1015" priority="382">
      <formula>#REF!=3</formula>
    </cfRule>
    <cfRule type="expression" dxfId="1014" priority="383">
      <formula>#REF!=2</formula>
    </cfRule>
    <cfRule type="expression" dxfId="1013" priority="384">
      <formula>#REF!=1</formula>
    </cfRule>
  </conditionalFormatting>
  <conditionalFormatting sqref="FY316">
    <cfRule type="expression" dxfId="1012" priority="379">
      <formula>#REF!=3</formula>
    </cfRule>
    <cfRule type="expression" dxfId="1011" priority="380">
      <formula>#REF!=2</formula>
    </cfRule>
    <cfRule type="expression" dxfId="1010" priority="381">
      <formula>#REF!=1</formula>
    </cfRule>
  </conditionalFormatting>
  <conditionalFormatting sqref="FY189">
    <cfRule type="expression" dxfId="1009" priority="376">
      <formula>#REF!=3</formula>
    </cfRule>
    <cfRule type="expression" dxfId="1008" priority="377">
      <formula>#REF!=2</formula>
    </cfRule>
    <cfRule type="expression" dxfId="1007" priority="378">
      <formula>#REF!=1</formula>
    </cfRule>
  </conditionalFormatting>
  <conditionalFormatting sqref="FY292">
    <cfRule type="expression" dxfId="1006" priority="373">
      <formula>#REF!=3</formula>
    </cfRule>
    <cfRule type="expression" dxfId="1005" priority="374">
      <formula>#REF!=2</formula>
    </cfRule>
    <cfRule type="expression" dxfId="1004" priority="375">
      <formula>#REF!=1</formula>
    </cfRule>
  </conditionalFormatting>
  <conditionalFormatting sqref="FY295">
    <cfRule type="expression" dxfId="1003" priority="370">
      <formula>#REF!=3</formula>
    </cfRule>
    <cfRule type="expression" dxfId="1002" priority="371">
      <formula>#REF!=2</formula>
    </cfRule>
    <cfRule type="expression" dxfId="1001" priority="372">
      <formula>#REF!=1</formula>
    </cfRule>
  </conditionalFormatting>
  <conditionalFormatting sqref="FY271">
    <cfRule type="expression" dxfId="1000" priority="367">
      <formula>#REF!=3</formula>
    </cfRule>
    <cfRule type="expression" dxfId="999" priority="368">
      <formula>#REF!=2</formula>
    </cfRule>
    <cfRule type="expression" dxfId="998" priority="369">
      <formula>#REF!=1</formula>
    </cfRule>
  </conditionalFormatting>
  <conditionalFormatting sqref="FY274">
    <cfRule type="expression" dxfId="997" priority="364">
      <formula>#REF!=3</formula>
    </cfRule>
    <cfRule type="expression" dxfId="996" priority="365">
      <formula>#REF!=2</formula>
    </cfRule>
    <cfRule type="expression" dxfId="995" priority="366">
      <formula>#REF!=1</formula>
    </cfRule>
  </conditionalFormatting>
  <conditionalFormatting sqref="FY257">
    <cfRule type="expression" dxfId="994" priority="361">
      <formula>#REF!=3</formula>
    </cfRule>
    <cfRule type="expression" dxfId="993" priority="362">
      <formula>#REF!=2</formula>
    </cfRule>
    <cfRule type="expression" dxfId="992" priority="363">
      <formula>#REF!=1</formula>
    </cfRule>
  </conditionalFormatting>
  <conditionalFormatting sqref="FY254">
    <cfRule type="expression" dxfId="991" priority="358">
      <formula>#REF!=3</formula>
    </cfRule>
    <cfRule type="expression" dxfId="990" priority="359">
      <formula>#REF!=2</formula>
    </cfRule>
    <cfRule type="expression" dxfId="989" priority="360">
      <formula>#REF!=1</formula>
    </cfRule>
  </conditionalFormatting>
  <conditionalFormatting sqref="FY223">
    <cfRule type="expression" dxfId="988" priority="355">
      <formula>#REF!=3</formula>
    </cfRule>
    <cfRule type="expression" dxfId="987" priority="356">
      <formula>#REF!=2</formula>
    </cfRule>
    <cfRule type="expression" dxfId="986" priority="357">
      <formula>#REF!=1</formula>
    </cfRule>
  </conditionalFormatting>
  <conditionalFormatting sqref="FY220">
    <cfRule type="expression" dxfId="985" priority="352">
      <formula>#REF!=3</formula>
    </cfRule>
    <cfRule type="expression" dxfId="984" priority="353">
      <formula>#REF!=2</formula>
    </cfRule>
    <cfRule type="expression" dxfId="983" priority="354">
      <formula>#REF!=1</formula>
    </cfRule>
  </conditionalFormatting>
  <conditionalFormatting sqref="FY206">
    <cfRule type="expression" dxfId="982" priority="349">
      <formula>#REF!=3</formula>
    </cfRule>
    <cfRule type="expression" dxfId="981" priority="350">
      <formula>#REF!=2</formula>
    </cfRule>
    <cfRule type="expression" dxfId="980" priority="351">
      <formula>#REF!=1</formula>
    </cfRule>
  </conditionalFormatting>
  <conditionalFormatting sqref="FY209">
    <cfRule type="expression" dxfId="979" priority="346">
      <formula>#REF!=3</formula>
    </cfRule>
    <cfRule type="expression" dxfId="978" priority="347">
      <formula>#REF!=2</formula>
    </cfRule>
    <cfRule type="expression" dxfId="977" priority="348">
      <formula>#REF!=1</formula>
    </cfRule>
  </conditionalFormatting>
  <conditionalFormatting sqref="FY111">
    <cfRule type="expression" dxfId="976" priority="343">
      <formula>$A106=3</formula>
    </cfRule>
    <cfRule type="expression" dxfId="975" priority="344">
      <formula>$A106=2</formula>
    </cfRule>
    <cfRule type="expression" dxfId="974" priority="345">
      <formula>$A106=1</formula>
    </cfRule>
  </conditionalFormatting>
  <conditionalFormatting sqref="FY110">
    <cfRule type="expression" dxfId="973" priority="340">
      <formula>$A104=3</formula>
    </cfRule>
    <cfRule type="expression" dxfId="972" priority="341">
      <formula>$A104=2</formula>
    </cfRule>
    <cfRule type="expression" dxfId="971" priority="342">
      <formula>$A104=1</formula>
    </cfRule>
  </conditionalFormatting>
  <conditionalFormatting sqref="FY110:FY111">
    <cfRule type="expression" dxfId="970" priority="337">
      <formula>#REF!=3</formula>
    </cfRule>
    <cfRule type="expression" dxfId="969" priority="338">
      <formula>#REF!=2</formula>
    </cfRule>
    <cfRule type="expression" dxfId="968" priority="339">
      <formula>#REF!=1</formula>
    </cfRule>
  </conditionalFormatting>
  <conditionalFormatting sqref="FY134">
    <cfRule type="expression" dxfId="967" priority="334">
      <formula>$A123=3</formula>
    </cfRule>
    <cfRule type="expression" dxfId="966" priority="335">
      <formula>$A123=2</formula>
    </cfRule>
    <cfRule type="expression" dxfId="965" priority="336">
      <formula>$A123=1</formula>
    </cfRule>
  </conditionalFormatting>
  <conditionalFormatting sqref="FY135:FY136">
    <cfRule type="expression" dxfId="964" priority="331">
      <formula>#REF!=3</formula>
    </cfRule>
    <cfRule type="expression" dxfId="963" priority="332">
      <formula>#REF!=2</formula>
    </cfRule>
    <cfRule type="expression" dxfId="962" priority="333">
      <formula>#REF!=1</formula>
    </cfRule>
  </conditionalFormatting>
  <conditionalFormatting sqref="FY136">
    <cfRule type="expression" dxfId="961" priority="328">
      <formula>$A128=3</formula>
    </cfRule>
    <cfRule type="expression" dxfId="960" priority="329">
      <formula>$A128=2</formula>
    </cfRule>
    <cfRule type="expression" dxfId="959" priority="330">
      <formula>$A128=1</formula>
    </cfRule>
  </conditionalFormatting>
  <conditionalFormatting sqref="T1">
    <cfRule type="expression" dxfId="958" priority="325">
      <formula>$A1=3</formula>
    </cfRule>
    <cfRule type="expression" dxfId="957" priority="326">
      <formula>$A1=2</formula>
    </cfRule>
    <cfRule type="expression" dxfId="956" priority="327">
      <formula>$A1=1</formula>
    </cfRule>
  </conditionalFormatting>
  <conditionalFormatting sqref="C84:D85">
    <cfRule type="expression" dxfId="955" priority="322">
      <formula>$A84=3</formula>
    </cfRule>
    <cfRule type="expression" dxfId="954" priority="323">
      <formula>$A84=2</formula>
    </cfRule>
    <cfRule type="expression" dxfId="953" priority="324">
      <formula>$A84=1</formula>
    </cfRule>
  </conditionalFormatting>
  <conditionalFormatting sqref="C87:D88">
    <cfRule type="expression" dxfId="952" priority="319">
      <formula>$A87=3</formula>
    </cfRule>
    <cfRule type="expression" dxfId="951" priority="320">
      <formula>$A87=2</formula>
    </cfRule>
    <cfRule type="expression" dxfId="950" priority="321">
      <formula>$A87=1</formula>
    </cfRule>
  </conditionalFormatting>
  <conditionalFormatting sqref="B102">
    <cfRule type="expression" dxfId="949" priority="289">
      <formula>$A102=3</formula>
    </cfRule>
    <cfRule type="expression" dxfId="948" priority="290">
      <formula>$A102=2</formula>
    </cfRule>
    <cfRule type="expression" dxfId="947" priority="291">
      <formula>$A102=1</formula>
    </cfRule>
  </conditionalFormatting>
  <conditionalFormatting sqref="C60:S61">
    <cfRule type="expression" dxfId="946" priority="283">
      <formula>$A60=3</formula>
    </cfRule>
    <cfRule type="expression" dxfId="945" priority="284">
      <formula>$A60=2</formula>
    </cfRule>
    <cfRule type="expression" dxfId="944" priority="285">
      <formula>$A60=1</formula>
    </cfRule>
  </conditionalFormatting>
  <conditionalFormatting sqref="FY114:FY115">
    <cfRule type="expression" dxfId="943" priority="277">
      <formula>$A111=3</formula>
    </cfRule>
    <cfRule type="expression" dxfId="942" priority="278">
      <formula>$A111=2</formula>
    </cfRule>
    <cfRule type="expression" dxfId="941" priority="279">
      <formula>$A111=1</formula>
    </cfRule>
  </conditionalFormatting>
  <conditionalFormatting sqref="FY113">
    <cfRule type="expression" dxfId="940" priority="274">
      <formula>$A104=3</formula>
    </cfRule>
    <cfRule type="expression" dxfId="939" priority="275">
      <formula>$A104=2</formula>
    </cfRule>
    <cfRule type="expression" dxfId="938" priority="276">
      <formula>$A104=1</formula>
    </cfRule>
  </conditionalFormatting>
  <conditionalFormatting sqref="FY113">
    <cfRule type="expression" dxfId="937" priority="271">
      <formula>#REF!=3</formula>
    </cfRule>
    <cfRule type="expression" dxfId="936" priority="272">
      <formula>#REF!=2</formula>
    </cfRule>
    <cfRule type="expression" dxfId="935" priority="273">
      <formula>#REF!=1</formula>
    </cfRule>
  </conditionalFormatting>
  <conditionalFormatting sqref="FY114:FY115">
    <cfRule type="expression" dxfId="934" priority="268">
      <formula>$A100=3</formula>
    </cfRule>
    <cfRule type="expression" dxfId="933" priority="269">
      <formula>$A100=2</formula>
    </cfRule>
    <cfRule type="expression" dxfId="932" priority="270">
      <formula>$A100=1</formula>
    </cfRule>
  </conditionalFormatting>
  <conditionalFormatting sqref="FY113">
    <cfRule type="expression" dxfId="931" priority="265">
      <formula>$A102=3</formula>
    </cfRule>
    <cfRule type="expression" dxfId="930" priority="266">
      <formula>$A102=2</formula>
    </cfRule>
    <cfRule type="expression" dxfId="929" priority="267">
      <formula>$A102=1</formula>
    </cfRule>
  </conditionalFormatting>
  <conditionalFormatting sqref="FY113">
    <cfRule type="expression" dxfId="928" priority="262">
      <formula>$A100=3</formula>
    </cfRule>
    <cfRule type="expression" dxfId="927" priority="263">
      <formula>$A100=2</formula>
    </cfRule>
    <cfRule type="expression" dxfId="926" priority="264">
      <formula>$A100=1</formula>
    </cfRule>
  </conditionalFormatting>
  <conditionalFormatting sqref="FY138">
    <cfRule type="expression" dxfId="925" priority="67">
      <formula>$A134=3</formula>
    </cfRule>
    <cfRule type="expression" dxfId="924" priority="68">
      <formula>$A134=2</formula>
    </cfRule>
    <cfRule type="expression" dxfId="923" priority="69">
      <formula>$A134=1</formula>
    </cfRule>
  </conditionalFormatting>
  <conditionalFormatting sqref="FY139">
    <cfRule type="expression" dxfId="922" priority="64">
      <formula>$A137=3</formula>
    </cfRule>
    <cfRule type="expression" dxfId="921" priority="65">
      <formula>$A137=2</formula>
    </cfRule>
    <cfRule type="expression" dxfId="920" priority="66">
      <formula>$A137=1</formula>
    </cfRule>
  </conditionalFormatting>
  <conditionalFormatting sqref="FY139">
    <cfRule type="expression" dxfId="919" priority="61">
      <formula>$A126=3</formula>
    </cfRule>
    <cfRule type="expression" dxfId="918" priority="62">
      <formula>$A126=2</formula>
    </cfRule>
    <cfRule type="expression" dxfId="917" priority="63">
      <formula>$A126=1</formula>
    </cfRule>
  </conditionalFormatting>
  <conditionalFormatting sqref="FY139">
    <cfRule type="expression" dxfId="916" priority="58">
      <formula>#REF!=3</formula>
    </cfRule>
    <cfRule type="expression" dxfId="915" priority="59">
      <formula>#REF!=2</formula>
    </cfRule>
    <cfRule type="expression" dxfId="914" priority="60">
      <formula>#REF!=1</formula>
    </cfRule>
  </conditionalFormatting>
  <conditionalFormatting sqref="FY137">
    <cfRule type="expression" dxfId="913" priority="55">
      <formula>$A119=3</formula>
    </cfRule>
    <cfRule type="expression" dxfId="912" priority="56">
      <formula>$A119=2</formula>
    </cfRule>
    <cfRule type="expression" dxfId="911" priority="57">
      <formula>$A119=1</formula>
    </cfRule>
  </conditionalFormatting>
  <conditionalFormatting sqref="FY139">
    <cfRule type="expression" dxfId="910" priority="52">
      <formula>$A119=3</formula>
    </cfRule>
    <cfRule type="expression" dxfId="909" priority="53">
      <formula>$A119=2</formula>
    </cfRule>
    <cfRule type="expression" dxfId="908" priority="54">
      <formula>$A119=1</formula>
    </cfRule>
  </conditionalFormatting>
  <conditionalFormatting sqref="FY137:FY139">
    <cfRule type="expression" dxfId="907" priority="49">
      <formula>#REF!=3</formula>
    </cfRule>
    <cfRule type="expression" dxfId="906" priority="50">
      <formula>#REF!=2</formula>
    </cfRule>
    <cfRule type="expression" dxfId="905" priority="51">
      <formula>#REF!=1</formula>
    </cfRule>
  </conditionalFormatting>
  <conditionalFormatting sqref="FY86">
    <cfRule type="expression" dxfId="904" priority="865">
      <formula>#REF!=3</formula>
    </cfRule>
    <cfRule type="expression" dxfId="903" priority="866">
      <formula>#REF!=2</formula>
    </cfRule>
    <cfRule type="expression" dxfId="902" priority="867">
      <formula>#REF!=1</formula>
    </cfRule>
  </conditionalFormatting>
  <conditionalFormatting sqref="FY93">
    <cfRule type="expression" dxfId="901" priority="895">
      <formula>#REF!=3</formula>
    </cfRule>
    <cfRule type="expression" dxfId="900" priority="896">
      <formula>#REF!=2</formula>
    </cfRule>
    <cfRule type="expression" dxfId="899" priority="897">
      <formula>#REF!=1</formula>
    </cfRule>
  </conditionalFormatting>
  <conditionalFormatting sqref="FY121">
    <cfRule type="expression" dxfId="898" priority="1057">
      <formula>#REF!=3</formula>
    </cfRule>
    <cfRule type="expression" dxfId="897" priority="1058">
      <formula>#REF!=2</formula>
    </cfRule>
    <cfRule type="expression" dxfId="896" priority="1059">
      <formula>#REF!=1</formula>
    </cfRule>
  </conditionalFormatting>
  <conditionalFormatting sqref="FY141">
    <cfRule type="expression" dxfId="895" priority="1126">
      <formula>#REF!=3</formula>
    </cfRule>
    <cfRule type="expression" dxfId="894" priority="1127">
      <formula>#REF!=2</formula>
    </cfRule>
    <cfRule type="expression" dxfId="893" priority="1128">
      <formula>#REF!=1</formula>
    </cfRule>
  </conditionalFormatting>
  <conditionalFormatting sqref="FY143">
    <cfRule type="expression" dxfId="892" priority="1195">
      <formula>#REF!=3</formula>
    </cfRule>
    <cfRule type="expression" dxfId="891" priority="1196">
      <formula>#REF!=2</formula>
    </cfRule>
    <cfRule type="expression" dxfId="890" priority="1197">
      <formula>#REF!=1</formula>
    </cfRule>
  </conditionalFormatting>
  <conditionalFormatting sqref="FY147:FY149">
    <cfRule type="expression" dxfId="889" priority="1216">
      <formula>#REF!=3</formula>
    </cfRule>
    <cfRule type="expression" dxfId="888" priority="1217">
      <formula>#REF!=2</formula>
    </cfRule>
    <cfRule type="expression" dxfId="887" priority="1218">
      <formula>#REF!=1</formula>
    </cfRule>
  </conditionalFormatting>
  <conditionalFormatting sqref="FY158:FY165">
    <cfRule type="expression" dxfId="886" priority="1225">
      <formula>#REF!=3</formula>
    </cfRule>
    <cfRule type="expression" dxfId="885" priority="1226">
      <formula>#REF!=2</formula>
    </cfRule>
    <cfRule type="expression" dxfId="884" priority="1227">
      <formula>#REF!=1</formula>
    </cfRule>
  </conditionalFormatting>
  <conditionalFormatting sqref="FY156:FY163">
    <cfRule type="expression" dxfId="883" priority="1231">
      <formula>#REF!=3</formula>
    </cfRule>
    <cfRule type="expression" dxfId="882" priority="1232">
      <formula>#REF!=2</formula>
    </cfRule>
    <cfRule type="expression" dxfId="881" priority="1233">
      <formula>#REF!=1</formula>
    </cfRule>
  </conditionalFormatting>
  <conditionalFormatting sqref="FY160:FY167">
    <cfRule type="expression" dxfId="880" priority="1237">
      <formula>#REF!=3</formula>
    </cfRule>
    <cfRule type="expression" dxfId="879" priority="1238">
      <formula>#REF!=2</formula>
    </cfRule>
    <cfRule type="expression" dxfId="878" priority="1239">
      <formula>#REF!=1</formula>
    </cfRule>
  </conditionalFormatting>
  <conditionalFormatting sqref="FY172:FY179">
    <cfRule type="expression" dxfId="877" priority="1294">
      <formula>#REF!=3</formula>
    </cfRule>
    <cfRule type="expression" dxfId="876" priority="1295">
      <formula>#REF!=2</formula>
    </cfRule>
    <cfRule type="expression" dxfId="875" priority="1296">
      <formula>#REF!=1</formula>
    </cfRule>
  </conditionalFormatting>
  <conditionalFormatting sqref="FY169:FY176">
    <cfRule type="expression" dxfId="874" priority="1345">
      <formula>#REF!=3</formula>
    </cfRule>
    <cfRule type="expression" dxfId="873" priority="1346">
      <formula>#REF!=2</formula>
    </cfRule>
    <cfRule type="expression" dxfId="872" priority="1347">
      <formula>#REF!=1</formula>
    </cfRule>
  </conditionalFormatting>
  <conditionalFormatting sqref="FY187:FY194">
    <cfRule type="expression" dxfId="871" priority="1393">
      <formula>#REF!=3</formula>
    </cfRule>
    <cfRule type="expression" dxfId="870" priority="1394">
      <formula>#REF!=2</formula>
    </cfRule>
    <cfRule type="expression" dxfId="869" priority="1395">
      <formula>#REF!=1</formula>
    </cfRule>
  </conditionalFormatting>
  <conditionalFormatting sqref="FY333:FY340">
    <cfRule type="expression" dxfId="868" priority="1402">
      <formula>#REF!=3</formula>
    </cfRule>
    <cfRule type="expression" dxfId="867" priority="1403">
      <formula>#REF!=2</formula>
    </cfRule>
    <cfRule type="expression" dxfId="866" priority="1404">
      <formula>#REF!=1</formula>
    </cfRule>
  </conditionalFormatting>
  <conditionalFormatting sqref="FY353:FY360">
    <cfRule type="expression" dxfId="865" priority="1414">
      <formula>#REF!=3</formula>
    </cfRule>
    <cfRule type="expression" dxfId="864" priority="1415">
      <formula>#REF!=2</formula>
    </cfRule>
    <cfRule type="expression" dxfId="863" priority="1416">
      <formula>#REF!=1</formula>
    </cfRule>
  </conditionalFormatting>
  <conditionalFormatting sqref="FY320:FY327">
    <cfRule type="expression" dxfId="862" priority="1441">
      <formula>#REF!=3</formula>
    </cfRule>
    <cfRule type="expression" dxfId="861" priority="1442">
      <formula>#REF!=2</formula>
    </cfRule>
    <cfRule type="expression" dxfId="860" priority="1443">
      <formula>#REF!=1</formula>
    </cfRule>
  </conditionalFormatting>
  <conditionalFormatting sqref="FY336:FY343">
    <cfRule type="expression" dxfId="859" priority="1456">
      <formula>#REF!=3</formula>
    </cfRule>
    <cfRule type="expression" dxfId="858" priority="1457">
      <formula>#REF!=2</formula>
    </cfRule>
    <cfRule type="expression" dxfId="857" priority="1458">
      <formula>#REF!=1</formula>
    </cfRule>
  </conditionalFormatting>
  <conditionalFormatting sqref="FY317:FY324">
    <cfRule type="expression" dxfId="856" priority="1468">
      <formula>#REF!=3</formula>
    </cfRule>
    <cfRule type="expression" dxfId="855" priority="1469">
      <formula>#REF!=2</formula>
    </cfRule>
    <cfRule type="expression" dxfId="854" priority="1470">
      <formula>#REF!=1</formula>
    </cfRule>
  </conditionalFormatting>
  <conditionalFormatting sqref="FY190:FY197">
    <cfRule type="expression" dxfId="853" priority="1474">
      <formula>#REF!=3</formula>
    </cfRule>
    <cfRule type="expression" dxfId="852" priority="1475">
      <formula>#REF!=2</formula>
    </cfRule>
    <cfRule type="expression" dxfId="851" priority="1476">
      <formula>#REF!=1</formula>
    </cfRule>
  </conditionalFormatting>
  <conditionalFormatting sqref="FY293:FY300">
    <cfRule type="expression" dxfId="850" priority="1519">
      <formula>#REF!=3</formula>
    </cfRule>
    <cfRule type="expression" dxfId="849" priority="1520">
      <formula>#REF!=2</formula>
    </cfRule>
    <cfRule type="expression" dxfId="848" priority="1521">
      <formula>#REF!=1</formula>
    </cfRule>
  </conditionalFormatting>
  <conditionalFormatting sqref="FY296:FY303">
    <cfRule type="expression" dxfId="847" priority="1525">
      <formula>#REF!=3</formula>
    </cfRule>
    <cfRule type="expression" dxfId="846" priority="1526">
      <formula>#REF!=2</formula>
    </cfRule>
    <cfRule type="expression" dxfId="845" priority="1527">
      <formula>#REF!=1</formula>
    </cfRule>
  </conditionalFormatting>
  <conditionalFormatting sqref="FY272:FY279">
    <cfRule type="expression" dxfId="844" priority="1531">
      <formula>#REF!=3</formula>
    </cfRule>
    <cfRule type="expression" dxfId="843" priority="1532">
      <formula>#REF!=2</formula>
    </cfRule>
    <cfRule type="expression" dxfId="842" priority="1533">
      <formula>#REF!=1</formula>
    </cfRule>
  </conditionalFormatting>
  <conditionalFormatting sqref="FY275:FY282">
    <cfRule type="expression" dxfId="841" priority="1537">
      <formula>#REF!=3</formula>
    </cfRule>
    <cfRule type="expression" dxfId="840" priority="1538">
      <formula>#REF!=2</formula>
    </cfRule>
    <cfRule type="expression" dxfId="839" priority="1539">
      <formula>#REF!=1</formula>
    </cfRule>
  </conditionalFormatting>
  <conditionalFormatting sqref="FY258:FY265">
    <cfRule type="expression" dxfId="838" priority="1543">
      <formula>#REF!=3</formula>
    </cfRule>
    <cfRule type="expression" dxfId="837" priority="1544">
      <formula>#REF!=2</formula>
    </cfRule>
    <cfRule type="expression" dxfId="836" priority="1545">
      <formula>#REF!=1</formula>
    </cfRule>
  </conditionalFormatting>
  <conditionalFormatting sqref="FY255:FY262">
    <cfRule type="expression" dxfId="835" priority="1552">
      <formula>#REF!=3</formula>
    </cfRule>
    <cfRule type="expression" dxfId="834" priority="1553">
      <formula>#REF!=2</formula>
    </cfRule>
    <cfRule type="expression" dxfId="833" priority="1554">
      <formula>#REF!=1</formula>
    </cfRule>
  </conditionalFormatting>
  <conditionalFormatting sqref="FY224:FY231">
    <cfRule type="expression" dxfId="832" priority="1558">
      <formula>#REF!=3</formula>
    </cfRule>
    <cfRule type="expression" dxfId="831" priority="1559">
      <formula>#REF!=2</formula>
    </cfRule>
    <cfRule type="expression" dxfId="830" priority="1560">
      <formula>#REF!=1</formula>
    </cfRule>
  </conditionalFormatting>
  <conditionalFormatting sqref="FY221:FY228">
    <cfRule type="expression" dxfId="829" priority="1564">
      <formula>#REF!=3</formula>
    </cfRule>
    <cfRule type="expression" dxfId="828" priority="1565">
      <formula>#REF!=2</formula>
    </cfRule>
    <cfRule type="expression" dxfId="827" priority="1566">
      <formula>#REF!=1</formula>
    </cfRule>
  </conditionalFormatting>
  <conditionalFormatting sqref="FY207:FY214">
    <cfRule type="expression" dxfId="826" priority="1576">
      <formula>#REF!=3</formula>
    </cfRule>
    <cfRule type="expression" dxfId="825" priority="1577">
      <formula>#REF!=2</formula>
    </cfRule>
    <cfRule type="expression" dxfId="824" priority="1578">
      <formula>#REF!=1</formula>
    </cfRule>
  </conditionalFormatting>
  <conditionalFormatting sqref="FY210:FY217">
    <cfRule type="expression" dxfId="823" priority="1582">
      <formula>#REF!=3</formula>
    </cfRule>
    <cfRule type="expression" dxfId="822" priority="1583">
      <formula>#REF!=2</formula>
    </cfRule>
    <cfRule type="expression" dxfId="821" priority="1584">
      <formula>#REF!=1</formula>
    </cfRule>
  </conditionalFormatting>
  <pageMargins left="0.31496062992125984" right="0.31496062992125984" top="0.15748031496062992" bottom="0" header="0.31496062992125984" footer="0.31496062992125984"/>
  <pageSetup paperSize="9" scale="4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Патанатомия</vt:lpstr>
      <vt:lpstr>МРТ КТ_СЦГ_2022</vt:lpstr>
      <vt:lpstr>ЭндоскопияВиды</vt:lpstr>
      <vt:lpstr>УЗИпоВидам</vt:lpstr>
      <vt:lpstr>Эндоскопия_маршр_05.09.2022</vt:lpstr>
      <vt:lpstr>УЗИ ССС на 2022 марш_К5.09.2022</vt:lpstr>
      <vt:lpstr>КТ2022маршрут_05.09.2022</vt:lpstr>
      <vt:lpstr>КТ2022маршрут_05.09.2022!Заголовки_для_печати</vt:lpstr>
      <vt:lpstr>'МРТ КТ_СЦГ_2022'!Заголовки_для_печати</vt:lpstr>
      <vt:lpstr>Эндоскопия_маршр_05.09.2022!Заголовки_для_печати</vt:lpstr>
      <vt:lpstr>'МРТ КТ_СЦГ_2022'!Критерии</vt:lpstr>
      <vt:lpstr>КТ2022маршрут_05.09.2022!Область_печати</vt:lpstr>
      <vt:lpstr>'МРТ КТ_СЦГ_2022'!Область_печати</vt:lpstr>
      <vt:lpstr>Патанатомия!Область_печати</vt:lpstr>
      <vt:lpstr>'УЗИ ССС на 2022 марш_К5.09.2022'!Область_печати</vt:lpstr>
      <vt:lpstr>УЗИпоВидам!Область_печати</vt:lpstr>
      <vt:lpstr>Эндоскопия_маршр_05.09.2022!Область_печати</vt:lpstr>
      <vt:lpstr>ЭндоскопияВиды!Область_печати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zpz_06</cp:lastModifiedBy>
  <cp:lastPrinted>2022-09-16T09:08:56Z</cp:lastPrinted>
  <dcterms:created xsi:type="dcterms:W3CDTF">2022-09-02T07:53:16Z</dcterms:created>
  <dcterms:modified xsi:type="dcterms:W3CDTF">2022-09-16T09:09:47Z</dcterms:modified>
</cp:coreProperties>
</file>